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1515" windowWidth="11655" windowHeight="7875" tabRatio="902" activeTab="0"/>
  </bookViews>
  <sheets>
    <sheet name="Исходные данные" sheetId="1" r:id="rId1"/>
    <sheet name="Динамические данные" sheetId="2" r:id="rId2"/>
    <sheet name="Таблицы для Отчета" sheetId="3" r:id="rId3"/>
    <sheet name="Продажа квартир" sheetId="4" r:id="rId4"/>
    <sheet name="Продажа нежилых помещ" sheetId="5" r:id="rId5"/>
    <sheet name="Продажа паркингов" sheetId="6" r:id="rId6"/>
    <sheet name="Затраты на СМР" sheetId="7" state="hidden" r:id="rId7"/>
    <sheet name="Затраты" sheetId="8" r:id="rId8"/>
    <sheet name="Расчет" sheetId="9" r:id="rId9"/>
    <sheet name="Итоги" sheetId="10" state="hidden" r:id="rId10"/>
  </sheets>
  <definedNames>
    <definedName name="Z_C216FEFB_AC90_42CB_95DA_96B776470931_.wvu.PrintArea" localSheetId="8" hidden="1">'Расчет'!$B$2:$P$48</definedName>
    <definedName name="дата">'Итоги'!$B$1:$B$26</definedName>
    <definedName name="ДО">'Исходные данные'!$E$3</definedName>
    <definedName name="к">'Исходные данные'!$E$23</definedName>
    <definedName name="_xlnm.Print_Area" localSheetId="1">'Динамические данные'!$A$1:$M$32</definedName>
    <definedName name="_xlnm.Print_Area" localSheetId="7">'Затраты'!$B$1:$G$43</definedName>
    <definedName name="_xlnm.Print_Area" localSheetId="6">'Затраты на СМР'!$A$1:$H$61</definedName>
    <definedName name="_xlnm.Print_Area" localSheetId="0">'Исходные данные'!$A$1:$J$25</definedName>
    <definedName name="_xlnm.Print_Area" localSheetId="3">'Продажа квартир'!$A$1:$H$44</definedName>
    <definedName name="_xlnm.Print_Area" localSheetId="8">'Расчет'!$A$1:$P$51</definedName>
    <definedName name="_xlnm.Print_Area" localSheetId="2">'Таблицы для Отчета'!$A$1:$O$72</definedName>
    <definedName name="проход">'Итоги'!$F$11:$F$13</definedName>
    <definedName name="торг">'Итоги'!$D$13:$D$14</definedName>
  </definedNames>
  <calcPr fullCalcOnLoad="1"/>
</workbook>
</file>

<file path=xl/sharedStrings.xml><?xml version="1.0" encoding="utf-8"?>
<sst xmlns="http://schemas.openxmlformats.org/spreadsheetml/2006/main" count="1139" uniqueCount="477">
  <si>
    <t>Аналог 1</t>
  </si>
  <si>
    <t>Аналог 3</t>
  </si>
  <si>
    <t>Аналог 4</t>
  </si>
  <si>
    <t>Объект оценки</t>
  </si>
  <si>
    <t>Местоположение</t>
  </si>
  <si>
    <t>Корректировка</t>
  </si>
  <si>
    <t>Наличие коммуникаций</t>
  </si>
  <si>
    <t>Функциональное назначение</t>
  </si>
  <si>
    <t xml:space="preserve">Техническое состояние </t>
  </si>
  <si>
    <t>Этаж, этажность</t>
  </si>
  <si>
    <t>Значение</t>
  </si>
  <si>
    <t>Аналог 2</t>
  </si>
  <si>
    <t>под чистовую отделку</t>
  </si>
  <si>
    <t>№ п/п</t>
  </si>
  <si>
    <t>Наименование показателей и поправок</t>
  </si>
  <si>
    <t>Вторая группа поправок, выраженная в виде корректирующих коэффициентов</t>
  </si>
  <si>
    <t>- на региональное различие в уровне цен</t>
  </si>
  <si>
    <t>- НДС</t>
  </si>
  <si>
    <t>Общий корректирующий коэффициент по второй группе поправок</t>
  </si>
  <si>
    <t>Скорректированный показатель восстановительной стоимости по объекту-аналогу</t>
  </si>
  <si>
    <r>
      <t>∆</t>
    </r>
    <r>
      <rPr>
        <sz val="10"/>
        <rFont val="Times New Roman"/>
        <family val="1"/>
      </rPr>
      <t xml:space="preserve"> С</t>
    </r>
    <r>
      <rPr>
        <vertAlign val="subscript"/>
        <sz val="10"/>
        <rFont val="Times New Roman"/>
        <family val="1"/>
      </rPr>
      <t xml:space="preserve">ст </t>
    </r>
    <r>
      <rPr>
        <sz val="10"/>
        <rFont val="Times New Roman"/>
        <family val="1"/>
      </rPr>
      <t>=</t>
    </r>
  </si>
  <si>
    <r>
      <t>С</t>
    </r>
    <r>
      <rPr>
        <vertAlign val="subscript"/>
        <sz val="10"/>
        <rFont val="Times New Roman"/>
        <family val="1"/>
      </rPr>
      <t>К</t>
    </r>
    <r>
      <rPr>
        <sz val="10"/>
        <rFont val="Times New Roman"/>
        <family val="1"/>
      </rPr>
      <t>=(С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+ ∑∆ С)К</t>
    </r>
    <r>
      <rPr>
        <sz val="10"/>
        <rFont val="Times New Roman"/>
        <family val="1"/>
      </rPr>
      <t>=</t>
    </r>
  </si>
  <si>
    <t>Аналог 5</t>
  </si>
  <si>
    <t>все основные коммуникации</t>
  </si>
  <si>
    <t>Показатель</t>
  </si>
  <si>
    <t>1 год</t>
  </si>
  <si>
    <t>2 год</t>
  </si>
  <si>
    <t xml:space="preserve"> 3 год</t>
  </si>
  <si>
    <t>Коэффициент дисконтирования</t>
  </si>
  <si>
    <t>http://www.vedomosti.ru/newspaper/showpic.shtml?2007/01/30/119772</t>
  </si>
  <si>
    <t>Ставка дисконтирования</t>
  </si>
  <si>
    <t>Наименование</t>
  </si>
  <si>
    <t>Площадь земельного участка</t>
  </si>
  <si>
    <t>%</t>
  </si>
  <si>
    <t>Риэлторские услуги</t>
  </si>
  <si>
    <t>Источник информации</t>
  </si>
  <si>
    <t>-</t>
  </si>
  <si>
    <t>Условия финансирования</t>
  </si>
  <si>
    <t>Дата предложения/продажи</t>
  </si>
  <si>
    <t>единовременный платеж</t>
  </si>
  <si>
    <t>Тип дома/серия</t>
  </si>
  <si>
    <t>Курс доллара продавца</t>
  </si>
  <si>
    <t>ПСН</t>
  </si>
  <si>
    <t>Ссылка на интернет-сайт (название журнала)</t>
  </si>
  <si>
    <t>Тип паркинга</t>
  </si>
  <si>
    <t>подземный паркинг в жилом доме</t>
  </si>
  <si>
    <t>шт.</t>
  </si>
  <si>
    <t>Доход от продаж квартир, долл.</t>
  </si>
  <si>
    <t>Темп изменения цен на квартиры</t>
  </si>
  <si>
    <t>Темп изменения цен на нежилые помещения</t>
  </si>
  <si>
    <t>Темп изменения цен на машино-места</t>
  </si>
  <si>
    <t>Аналог</t>
  </si>
  <si>
    <t>Справочная стоимость 1 ед. измерения аналога, руб., в ценах на 01.01.2003 г.</t>
  </si>
  <si>
    <t>- изменение цен после издания справочника на дату оценки (КО-ИНВЕСТ № 55, п.2.6)</t>
  </si>
  <si>
    <t>Расчет затрат на строительство надземной части здания</t>
  </si>
  <si>
    <t>Расчет затрат на строительство подземной части здания</t>
  </si>
  <si>
    <t>Справочная стоимость 1 ед. измерения аналога, руб., в ценах на 01.01.2005 г.</t>
  </si>
  <si>
    <t>3 год</t>
  </si>
  <si>
    <t>Курс доллара на дату оценки</t>
  </si>
  <si>
    <t>Доходы от продажи паркингов</t>
  </si>
  <si>
    <t>Доходы от продажи нежилых помещений</t>
  </si>
  <si>
    <t>Периоды</t>
  </si>
  <si>
    <t>Затраты на строительство подземной части</t>
  </si>
  <si>
    <t>га</t>
  </si>
  <si>
    <t>Передаваемые права</t>
  </si>
  <si>
    <t>права требования</t>
  </si>
  <si>
    <t>Дата проверки актуальности представленной информации</t>
  </si>
  <si>
    <t>кв. м</t>
  </si>
  <si>
    <t>Дополнительная информация</t>
  </si>
  <si>
    <t xml:space="preserve">Операционные расходы:  </t>
  </si>
  <si>
    <t>Доходы от продажи квартир</t>
  </si>
  <si>
    <t>Доля доходов от продажи квартир</t>
  </si>
  <si>
    <t>Доля доходов от продажи нежилых помещений</t>
  </si>
  <si>
    <t>Скорректированная цена, долл./кв. м</t>
  </si>
  <si>
    <t>Средневзвешенное значение (округл.), долл./кв. м</t>
  </si>
  <si>
    <t>Характеристики</t>
  </si>
  <si>
    <t>Поправка на торг</t>
  </si>
  <si>
    <t>Тип дома</t>
  </si>
  <si>
    <t>Проходимость места</t>
  </si>
  <si>
    <t>руб./долл.</t>
  </si>
  <si>
    <t>долл./куб. м</t>
  </si>
  <si>
    <t>Исходные данные</t>
  </si>
  <si>
    <t xml:space="preserve">   Подземная часть</t>
  </si>
  <si>
    <t>Строительный объем подземной части</t>
  </si>
  <si>
    <t>куб. м</t>
  </si>
  <si>
    <t>Услуги риэлтора</t>
  </si>
  <si>
    <t>Справочно:</t>
  </si>
  <si>
    <t>Расчет величины коэффициента изменения цен СМР от базовой даты до даты оценки</t>
  </si>
  <si>
    <t>Индекс СМР для уровня цен примененного справочника</t>
  </si>
  <si>
    <t>Я ее доработаю!!!! Пока не хватает информации</t>
  </si>
  <si>
    <t>сумма по строке/или средняя величина</t>
  </si>
  <si>
    <t>1 кв.</t>
  </si>
  <si>
    <t>2 кв.</t>
  </si>
  <si>
    <t>3 кв.</t>
  </si>
  <si>
    <t>4 кв.</t>
  </si>
  <si>
    <t>Темпы изменения показателей</t>
  </si>
  <si>
    <t>Общая площадь существующих зданий и строений</t>
  </si>
  <si>
    <t xml:space="preserve">   Надземная часть, в т.ч.</t>
  </si>
  <si>
    <t xml:space="preserve">      - общая площадь квартир</t>
  </si>
  <si>
    <t xml:space="preserve">      - общая площадь нежилых помещений</t>
  </si>
  <si>
    <t>Кадастровый план земельного участка, Свидетельство о государственной регистрации права на ЗУ</t>
  </si>
  <si>
    <t>Предпроектная документация</t>
  </si>
  <si>
    <t>Ед. изм.</t>
  </si>
  <si>
    <t>5 кв.</t>
  </si>
  <si>
    <t>1 полугодие</t>
  </si>
  <si>
    <t>2 полугодие</t>
  </si>
  <si>
    <t>3 полугодие</t>
  </si>
  <si>
    <t>5 полугодие</t>
  </si>
  <si>
    <t>6 полугодие</t>
  </si>
  <si>
    <t>1 полуг.</t>
  </si>
  <si>
    <t>2 полуг.</t>
  </si>
  <si>
    <t>3 полуг.</t>
  </si>
  <si>
    <t>4 полуг.</t>
  </si>
  <si>
    <t>5 полуг.</t>
  </si>
  <si>
    <t>6 полуг.</t>
  </si>
  <si>
    <t>Строительный объем существующих зданий и строений под снос</t>
  </si>
  <si>
    <t>Табл. 1</t>
  </si>
  <si>
    <t>Табл. 2</t>
  </si>
  <si>
    <t>Табл. 3</t>
  </si>
  <si>
    <t>Табл. 4</t>
  </si>
  <si>
    <t>Табл. 6</t>
  </si>
  <si>
    <t>Табл. 7</t>
  </si>
  <si>
    <t>Табл. 8</t>
  </si>
  <si>
    <t>Табл. 9</t>
  </si>
  <si>
    <t>6 кв.</t>
  </si>
  <si>
    <t>7 кв.</t>
  </si>
  <si>
    <t>8 кв.</t>
  </si>
  <si>
    <t>9 кв.</t>
  </si>
  <si>
    <t>10 кв.</t>
  </si>
  <si>
    <t>11 кв.</t>
  </si>
  <si>
    <t>12 кв.</t>
  </si>
  <si>
    <t>Распределение доходов</t>
  </si>
  <si>
    <t>Арендные платежи за земельный участок</t>
  </si>
  <si>
    <t>4 полугодие</t>
  </si>
  <si>
    <t>Итого затраты на реализацию проекта</t>
  </si>
  <si>
    <t>Затраты на реализацию проекта</t>
  </si>
  <si>
    <t>Затраты на строительство надземной части</t>
  </si>
  <si>
    <t>Дополнительные затраты,
в том числе:</t>
  </si>
  <si>
    <t>ед. изм.</t>
  </si>
  <si>
    <t>долл.</t>
  </si>
  <si>
    <t>Распределение затрат на СМР по этапам реализации проекта</t>
  </si>
  <si>
    <t>Стоимость строительства подземной части с учетом индекса изменения стоимости СМР</t>
  </si>
  <si>
    <t>Затраты на строительство надземной части с учетом индекса изменения стоимости СМР</t>
  </si>
  <si>
    <t>Доходы от реализации проекта</t>
  </si>
  <si>
    <t>Расчет стоимости объекта оценки</t>
  </si>
  <si>
    <t>Доля продаж квартир</t>
  </si>
  <si>
    <t>руб.</t>
  </si>
  <si>
    <t>Продажа квартир</t>
  </si>
  <si>
    <t>Темп изменения цен на квартиры накопленным итогом</t>
  </si>
  <si>
    <t>Доля продаж нежилых помещений</t>
  </si>
  <si>
    <t>Продажа нежилых помещений</t>
  </si>
  <si>
    <t>Темп изменения цен на нежилые помещения накопленным итогом</t>
  </si>
  <si>
    <t>Доля продаж машино-мест</t>
  </si>
  <si>
    <t>Продажа машино-мест</t>
  </si>
  <si>
    <t>Темп изменения цен на машино-места накопленным итогом</t>
  </si>
  <si>
    <t>Текущая стоимость денежного потока</t>
  </si>
  <si>
    <t>Распределение доходов по периодам реализации проекта</t>
  </si>
  <si>
    <t>Табл. 10</t>
  </si>
  <si>
    <t>Табл. 11</t>
  </si>
  <si>
    <t>Табл. 12</t>
  </si>
  <si>
    <t>Табл. 13</t>
  </si>
  <si>
    <t>Табл. 14</t>
  </si>
  <si>
    <t>Табл. 15</t>
  </si>
  <si>
    <t>4.5.5.03</t>
  </si>
  <si>
    <t>Площадь надземной части жилого дома</t>
  </si>
  <si>
    <t>Первая группа поправок, выраженных в рублях на 1 кв. м надземной части здания</t>
  </si>
  <si>
    <t>на отличия в объемно-планировочных решениях:</t>
  </si>
  <si>
    <t>-прочие отличия</t>
  </si>
  <si>
    <t>на отличия в конструктивных решениях:</t>
  </si>
  <si>
    <t>-фундамента, в случае строительства подземного паркинга</t>
  </si>
  <si>
    <t>- наружных стен</t>
  </si>
  <si>
    <t>- внутренних стен</t>
  </si>
  <si>
    <t>- перекрытий</t>
  </si>
  <si>
    <t>- кровли</t>
  </si>
  <si>
    <t>- полов</t>
  </si>
  <si>
    <t>- заполнения проемов</t>
  </si>
  <si>
    <t>- отделки стен, перегородок, потолков</t>
  </si>
  <si>
    <t>на отличия в решениях инженерных систем здания</t>
  </si>
  <si>
    <t>м</t>
  </si>
  <si>
    <t>этажей</t>
  </si>
  <si>
    <t>- по средней площади квартиры по дому</t>
  </si>
  <si>
    <t>- по высоте этажа</t>
  </si>
  <si>
    <t>- по количеству этажей</t>
  </si>
  <si>
    <t>без подземного паркинга</t>
  </si>
  <si>
    <t>Класс конструктивной системы здания</t>
  </si>
  <si>
    <t>Класс качества здания</t>
  </si>
  <si>
    <t>табл. 2.3</t>
  </si>
  <si>
    <t>табл. 2.11</t>
  </si>
  <si>
    <t>с подземным паркингом</t>
  </si>
  <si>
    <t>доля подземной части у аналога, стр. 269</t>
  </si>
  <si>
    <t>отличий нет</t>
  </si>
  <si>
    <t>без внутренней отделки</t>
  </si>
  <si>
    <t>с внутренней отделкой</t>
  </si>
  <si>
    <t>КС-3</t>
  </si>
  <si>
    <t>без НДС</t>
  </si>
  <si>
    <t>с НДС</t>
  </si>
  <si>
    <t>Москва</t>
  </si>
  <si>
    <t>1</t>
  </si>
  <si>
    <t>Московск. обл.</t>
  </si>
  <si>
    <t>2</t>
  </si>
  <si>
    <t>Код по сборнику Ко-ИНВЕСТ "Жилые дома"</t>
  </si>
  <si>
    <t>улучшенный</t>
  </si>
  <si>
    <t>Затраты на строительство здания на дату проведения оценки</t>
  </si>
  <si>
    <t>Затраты на строительство 1 кв. м здания на дату проведения оценки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</si>
  <si>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</si>
  <si>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</si>
  <si>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</si>
  <si>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</si>
  <si>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</si>
  <si>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</si>
  <si>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</si>
  <si>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</si>
  <si>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</si>
  <si>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</si>
  <si>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</si>
  <si>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</si>
  <si>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</si>
  <si>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</si>
  <si>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</si>
  <si>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4.3</t>
  </si>
  <si>
    <t>6.1</t>
  </si>
  <si>
    <t>6.2</t>
  </si>
  <si>
    <t>6.3</t>
  </si>
  <si>
    <t>Итого корректирующий коэффициент по первой группе поправок</t>
  </si>
  <si>
    <t>Первая группа поправок, выраженных в рублях на 1 кв. м подземной части здания</t>
  </si>
  <si>
    <t>Объем подземного паркинга</t>
  </si>
  <si>
    <t>- на различие в высоте этажа</t>
  </si>
  <si>
    <t>- на различие в конструктивных решениях</t>
  </si>
  <si>
    <t xml:space="preserve">   - перегородок</t>
  </si>
  <si>
    <t xml:space="preserve">   - полов</t>
  </si>
  <si>
    <t xml:space="preserve">   - отделки</t>
  </si>
  <si>
    <t>- прочие отличия</t>
  </si>
  <si>
    <t>Вторая группа поправок, выраженных в виде корректирующих коэффициентов</t>
  </si>
  <si>
    <t>- на различие в объеме (площади)</t>
  </si>
  <si>
    <t>- на величину прочих и непредвиденных затрат</t>
  </si>
  <si>
    <t>- Изменение цен после издания справочника</t>
  </si>
  <si>
    <t>6.4</t>
  </si>
  <si>
    <t>6.5</t>
  </si>
  <si>
    <t>7 900-10 700</t>
  </si>
  <si>
    <t>табл. 2.5</t>
  </si>
  <si>
    <t>п. 5.1</t>
  </si>
  <si>
    <t>Затраты на строительство паркинга на дату проведения оценки</t>
  </si>
  <si>
    <t>Затраты на строительство 1 кв. м паркинга на дату проведения оценки</t>
  </si>
  <si>
    <t>1,18</t>
  </si>
  <si>
    <t>Источник информации (формула)</t>
  </si>
  <si>
    <t>п 8.1сборника Ко-Инвест "Жилые дома"</t>
  </si>
  <si>
    <t>http://www.incom-realty.ru/sale-realty/commercesell/?id=259705</t>
  </si>
  <si>
    <t>http://www.incom-realty.ru/sale-realty/commercesell/?id=253226</t>
  </si>
  <si>
    <t>http://www.mian.ru/Houses/HouseInfo.aspx?ObjID=144291</t>
  </si>
  <si>
    <t>Код по сборнику Ко-ИНВЕСТ 2007 "Общественные здания"</t>
  </si>
  <si>
    <t>Недвижимость и цены № 10 от 24.08.2007 г.</t>
  </si>
  <si>
    <t>03.9.3.082</t>
  </si>
  <si>
    <t>КС-4</t>
  </si>
  <si>
    <t>03.9.3.081</t>
  </si>
  <si>
    <t>3.9.3.082</t>
  </si>
  <si>
    <t>Название индекса</t>
  </si>
  <si>
    <t>Ко-Инвест № 58, стр. 59</t>
  </si>
  <si>
    <t>стр. 1*стр. 2</t>
  </si>
  <si>
    <t>Расчет затрат на строительство надземной части жилого дома</t>
  </si>
  <si>
    <t>руб./куб. м</t>
  </si>
  <si>
    <t>Затраты на строительство по справочнику</t>
  </si>
  <si>
    <t xml:space="preserve">руб./кв. м </t>
  </si>
  <si>
    <t>долл./кв. м</t>
  </si>
  <si>
    <t>Расчет затрат на строительство подземного паркинга</t>
  </si>
  <si>
    <t>п. 5.1 сборника Ко-Инвест "Общественные здания"</t>
  </si>
  <si>
    <t>- на различие в площади</t>
  </si>
  <si>
    <t>Индекс изменения цен после издания справочника</t>
  </si>
  <si>
    <t>Аддитивная корректировка</t>
  </si>
  <si>
    <t>Мультипликативная корректировка</t>
  </si>
  <si>
    <t>Налог на добавленную стоимость</t>
  </si>
  <si>
    <t>Табл. 16</t>
  </si>
  <si>
    <t>Мультипликативные поправки</t>
  </si>
  <si>
    <t>Итого мультипликативная поправка</t>
  </si>
  <si>
    <t>Аддитивная поправка на различие в высоте этажа</t>
  </si>
  <si>
    <t>аналогичны</t>
  </si>
  <si>
    <t>Затраты на строительство</t>
  </si>
  <si>
    <t>п. 3, ст. 164, НК РФ</t>
  </si>
  <si>
    <t>3.1</t>
  </si>
  <si>
    <t>3.2</t>
  </si>
  <si>
    <t>3.3</t>
  </si>
  <si>
    <t>3.4</t>
  </si>
  <si>
    <t>Высота паркинга</t>
  </si>
  <si>
    <t>Величина индекса цен на 01.01.2007 г.</t>
  </si>
  <si>
    <t>АН МИАН, 974-62-62, Терехова Мария</t>
  </si>
  <si>
    <t>АН ИНКОМ, 363-10-03, Седова Ирина</t>
  </si>
  <si>
    <t>Физ. лицо, Скрипников Игорь, 8-903-555-77-66</t>
  </si>
  <si>
    <t>ст. м. Профсоюзная, ул. Профсоюзная, д. 31, 10 мин. пешком</t>
  </si>
  <si>
    <t>ст. м. Профсоюзная, Ломоносовский пр-т, д. , 10 мин. пешком</t>
  </si>
  <si>
    <t>ст. м. Ленинский проспект, ул. Ленинский проспект, д. 53, 15 мин. пешком</t>
  </si>
  <si>
    <t>ст. м. Университет, ул. Панферова, д. 12, 15 мин. пешком</t>
  </si>
  <si>
    <t>ст. м. Новые Черемушки, ул. Ак. Пилюгина д. 16, 20 мин. пешком</t>
  </si>
  <si>
    <t>ст. м. Профсоюзная, ул. Вавилова, д. 81, 15 мин. пешком</t>
  </si>
  <si>
    <t>10/17</t>
  </si>
  <si>
    <t>16/17</t>
  </si>
  <si>
    <t>1-17/17</t>
  </si>
  <si>
    <t>http://www.incom-realty.ru/sale-realty/commercesell/?id=359714</t>
  </si>
  <si>
    <t>http://www.incom-realty.ru/sale-realty/commercesell/?id=253458</t>
  </si>
  <si>
    <t>http://realty.vesco.ru/offices.php?idx=209085</t>
  </si>
  <si>
    <t>http://www.mian.ru/Houses/HouseInfo.aspx?ObjID=148592</t>
  </si>
  <si>
    <t>http://www.mian.ru/Houses/HouseInfo.aspx?ObjID=458976</t>
  </si>
  <si>
    <t>http://www.mian.ru/Houses/HouseInfo.aspx?ObjID=259458</t>
  </si>
  <si>
    <t>Определение величины дохода от продажи нежилых помещений</t>
  </si>
  <si>
    <t>1/17</t>
  </si>
  <si>
    <t>Расчет индекса изменения цен на дату оценки</t>
  </si>
  <si>
    <t>Индекс изменения цен на дату оценки</t>
  </si>
  <si>
    <t>Табл. 17</t>
  </si>
  <si>
    <t>Табл. 18</t>
  </si>
  <si>
    <t>Табл. 20</t>
  </si>
  <si>
    <t>Площадь машино-места</t>
  </si>
  <si>
    <t>декабрь 2006</t>
  </si>
  <si>
    <t>январь 2007</t>
  </si>
  <si>
    <t>декабрь 2007</t>
  </si>
  <si>
    <t>февраль 2007</t>
  </si>
  <si>
    <t>январь 2008</t>
  </si>
  <si>
    <t>февраль 2008</t>
  </si>
  <si>
    <t>март 2007</t>
  </si>
  <si>
    <t>апрель 2007</t>
  </si>
  <si>
    <t>май 2007</t>
  </si>
  <si>
    <t>июнь 2007</t>
  </si>
  <si>
    <t>июль 2007</t>
  </si>
  <si>
    <t>август 2007</t>
  </si>
  <si>
    <t>сентябрь 2007</t>
  </si>
  <si>
    <t>октябрь 2007</t>
  </si>
  <si>
    <t>ноябрь 2007</t>
  </si>
  <si>
    <t>март 2008</t>
  </si>
  <si>
    <t>апрель 2008</t>
  </si>
  <si>
    <t>май 2008</t>
  </si>
  <si>
    <t>июнь 2008</t>
  </si>
  <si>
    <t>июль 2008</t>
  </si>
  <si>
    <t>сентябрь 2008</t>
  </si>
  <si>
    <t>отсутствуют</t>
  </si>
  <si>
    <t>август 2008</t>
  </si>
  <si>
    <t>октябрь 2008</t>
  </si>
  <si>
    <t>ноябрь 2008</t>
  </si>
  <si>
    <t>декабрь 2008</t>
  </si>
  <si>
    <t>уровни</t>
  </si>
  <si>
    <t>Расположение машино-мест в паркинге</t>
  </si>
  <si>
    <t>евроремонт</t>
  </si>
  <si>
    <t>Для квартир</t>
  </si>
  <si>
    <t>Для нежилых помещений</t>
  </si>
  <si>
    <t>монолитно-кирпичный</t>
  </si>
  <si>
    <t>типичные</t>
  </si>
  <si>
    <t>вблизи Воронцовского парка</t>
  </si>
  <si>
    <t>квартира</t>
  </si>
  <si>
    <t>средняя</t>
  </si>
  <si>
    <t>В квартал</t>
  </si>
  <si>
    <t>Накопленным итогом</t>
  </si>
  <si>
    <t>Процентов в квартал</t>
  </si>
  <si>
    <t>Процентов накопленным итогом</t>
  </si>
  <si>
    <t>Процентов в полугодие*</t>
  </si>
  <si>
    <t>В год*</t>
  </si>
  <si>
    <t>торг возможен</t>
  </si>
  <si>
    <t>Процентов в полугодие**</t>
  </si>
  <si>
    <t>Процентов в полугодие***</t>
  </si>
  <si>
    <t>есть</t>
  </si>
  <si>
    <t>Локальные особенности местоположения</t>
  </si>
  <si>
    <t>Величина коэффициента вариации</t>
  </si>
  <si>
    <t>Общая площадь жилого комплекса, в т. ч.</t>
  </si>
  <si>
    <t>%/доход</t>
  </si>
  <si>
    <t>Средняя площадь машино-места</t>
  </si>
  <si>
    <t>Банк России на дату оценки</t>
  </si>
  <si>
    <t>Цены на машино-места</t>
  </si>
  <si>
    <t>Цены на нежилые помещения</t>
  </si>
  <si>
    <t>Цены на квартиры</t>
  </si>
  <si>
    <t>Поправка на строительную готовность жилого комплекса</t>
  </si>
  <si>
    <t>Указать страницу Отчета</t>
  </si>
  <si>
    <t>Для квартир*</t>
  </si>
  <si>
    <t>Для нежилых помещений**</t>
  </si>
  <si>
    <t>Площадь квартир, количество комнат</t>
  </si>
  <si>
    <t>Цена, долл./кв. м</t>
  </si>
  <si>
    <t>5/23</t>
  </si>
  <si>
    <t>8/17-10-9</t>
  </si>
  <si>
    <t>2/23</t>
  </si>
  <si>
    <t>Степень строительной готовности</t>
  </si>
  <si>
    <t>РСС-2007, стр. 792</t>
  </si>
  <si>
    <t>Индекс изменения стоимости СМР накопленным итогом</t>
  </si>
  <si>
    <t>долл./м-м</t>
  </si>
  <si>
    <t>Денежный поток</t>
  </si>
  <si>
    <t>Нагрузка на общую надземную площадь улучшений</t>
  </si>
  <si>
    <t>Ко-Инвест № 59, стр. 61</t>
  </si>
  <si>
    <t>РСС-2007, стр. 717</t>
  </si>
  <si>
    <t>Информация по объекту оценки</t>
  </si>
  <si>
    <t>Технико-экономические показатели предполагаемого к строительству жилого комплекса</t>
  </si>
  <si>
    <t>Дата проведения оценки</t>
  </si>
  <si>
    <t>Договор об оценке, техзадание на оценку</t>
  </si>
  <si>
    <t>Распределение затрат на проектные и строительно-монтажные работы по периодам реализации проекта</t>
  </si>
  <si>
    <t>Нормы задела затрат</t>
  </si>
  <si>
    <t>Темп изменения стоимости проектных и строительно-монтажных работ</t>
  </si>
  <si>
    <t>Прочие особенности</t>
  </si>
  <si>
    <t>Определение величины дохода от продажи квартир</t>
  </si>
  <si>
    <t>Расчет поправок для определения затрат на строительство подземного паркинга</t>
  </si>
  <si>
    <t>Поправка на строительную готовность жилого комплекса для квартир</t>
  </si>
  <si>
    <t>Стоимость продажи квартир с учетом изменения цен и  строительной готовности жилого комплекса</t>
  </si>
  <si>
    <t>Поправка на строительную готовность жилого комплекса для нежилья</t>
  </si>
  <si>
    <t>Стоимость продажи нежилых помещений с учетом изменения цен и строительной готовности жилого комплекса</t>
  </si>
  <si>
    <t>Стоимость продажи машино-места с учетом изменения цен и строительной готовности жилого комплекса</t>
  </si>
  <si>
    <t>Доходы от продажи машино-мест</t>
  </si>
  <si>
    <t>Арендная плата за земельный участок</t>
  </si>
  <si>
    <t>%/год</t>
  </si>
  <si>
    <t>Договор аренды на земельный участок от _ № __</t>
  </si>
  <si>
    <t>Затраты на СМР</t>
  </si>
  <si>
    <t>Свидетельства о государственной регистрации прав на объекты, документы технического учета объекта недвижимого имущества</t>
  </si>
  <si>
    <t>Документы технического учета объекта недвижимого имущества</t>
  </si>
  <si>
    <t>Технические условия подключения объекта к сетям инженерно-технического обеспечения</t>
  </si>
  <si>
    <t>Затраты на подключение к инженерно-техническим сетям</t>
  </si>
  <si>
    <t>Затраты на снос зданий и строений</t>
  </si>
  <si>
    <t>Предпроектная документация, градостроительный план земельного участка, задание инициатора проекта на подготовку проектной документации</t>
  </si>
  <si>
    <t>Расчетное обоснование</t>
  </si>
  <si>
    <t>руб./кварт.</t>
  </si>
  <si>
    <t>Затраты на снос существующих зданий, строений и вывоз строительного мусора</t>
  </si>
  <si>
    <t>Указать страницу отчета</t>
  </si>
  <si>
    <t>Валовые затраты на строительство надземной части реализуемой площади с учетом изменения стоимости СМР</t>
  </si>
  <si>
    <t>Валовые затраты на строительство подземной части с учетом изменения стоимости СМР</t>
  </si>
  <si>
    <t>торг невозможен</t>
  </si>
  <si>
    <t>Коэффициент вариации</t>
  </si>
  <si>
    <t>Текущая стоимость доходов от реализации проекта</t>
  </si>
  <si>
    <t>Местоположение (район расположения)</t>
  </si>
  <si>
    <t>Стоимость по методу предполагаемого использования</t>
  </si>
  <si>
    <t>Наличие отделки</t>
  </si>
  <si>
    <t>1/23</t>
  </si>
  <si>
    <t>цоколь/12</t>
  </si>
  <si>
    <t>Vesco Realty, 
101-35-65, Чижиков Михаил</t>
  </si>
  <si>
    <t xml:space="preserve">    В ячейки выделенные серым цветом вводится информация полученная оценщиком.</t>
  </si>
  <si>
    <t>ст. м. Профсоюзная, Мичуринский пр-т, д. , 10 мин. пешком</t>
  </si>
  <si>
    <t>ст. м. Профсоюзная ул. Львова, д. 12, 10 мин. пешком</t>
  </si>
  <si>
    <t>ст. м. Профсоюзная, ул. Вавилова, д. 10, 15 мин. пешком</t>
  </si>
  <si>
    <t>январь 2009</t>
  </si>
  <si>
    <t>Корректировка, %</t>
  </si>
  <si>
    <t>руб./кв. м</t>
  </si>
  <si>
    <t>Скорректированная цена, долл./машино-место</t>
  </si>
  <si>
    <t>Цена машино-места</t>
  </si>
  <si>
    <t>Валовая корректировка</t>
  </si>
  <si>
    <t>Корректировка, долл.</t>
  </si>
  <si>
    <t>Вес аналога</t>
  </si>
  <si>
    <t>низкая</t>
  </si>
  <si>
    <t>высокая</t>
  </si>
  <si>
    <t>Источник получения информации</t>
  </si>
  <si>
    <t>50-105 кв. м, 1-3 ком.</t>
  </si>
  <si>
    <t>Количество машино-мест</t>
  </si>
  <si>
    <t xml:space="preserve">Средневзвешенное значение с НДС (округл.), долл./кв. м </t>
  </si>
  <si>
    <t>Доход от продаж нежилых помещений с НДС, долл.</t>
  </si>
  <si>
    <t>Стоимость 1 машино-места с НДС, долл. (округленно)</t>
  </si>
  <si>
    <t xml:space="preserve">    Оптимальная работа модели достигается при использовании пакета Microsoft Office 2003.</t>
  </si>
  <si>
    <t>Доля, передаваемая в собственность РФ</t>
  </si>
  <si>
    <t>Подземный паркинг</t>
  </si>
  <si>
    <t>Доля доходов от продажи машино-мест</t>
  </si>
  <si>
    <t>Для машино-мест</t>
  </si>
  <si>
    <t>Тоже (округл.)</t>
  </si>
  <si>
    <t>млн. долл./га</t>
  </si>
  <si>
    <t>Тоже (справочно)</t>
  </si>
  <si>
    <t>Поправка на строительную готовность дома для машино-мест</t>
  </si>
  <si>
    <t>Табл. 5</t>
  </si>
  <si>
    <t>Табл. 19</t>
  </si>
  <si>
    <t>(3)*(4)+(5)</t>
  </si>
  <si>
    <t>(5)/курс доллара</t>
  </si>
  <si>
    <t>(1)*(5)</t>
  </si>
  <si>
    <t>(1)*(5)/курс доллара</t>
  </si>
  <si>
    <t>((2)+(3))*(4)*(5)*(6)</t>
  </si>
  <si>
    <t xml:space="preserve">          Справочно:</t>
  </si>
  <si>
    <t>(1)*(7)/курс доллара</t>
  </si>
  <si>
    <t>(1)*(7)</t>
  </si>
  <si>
    <t>(8)/площадь подземной части</t>
  </si>
  <si>
    <t>Объем паркинга</t>
  </si>
  <si>
    <t>Прочие затраты (озеленение и благоустройство территории …)</t>
  </si>
  <si>
    <t>(3.1)*(3.2)*(3.3)</t>
  </si>
  <si>
    <t>Тоже справочно (округл.)</t>
  </si>
  <si>
    <t>Определение величины дохода от продажи машино-мест</t>
  </si>
  <si>
    <t>Доход от продажи машино-мест с НДС, долл.</t>
  </si>
  <si>
    <t>Для машино-мест***</t>
  </si>
  <si>
    <t>Наличие в доме подземного паркинга</t>
  </si>
  <si>
    <t>Cогласно нормативных документов (СНиПы 1.04.03-85, 1.05.03-87) и анализа рынка строительства жилых комплексов, стр. ___</t>
  </si>
  <si>
    <t>Табл. 18, (3.4)</t>
  </si>
  <si>
    <t>Табл. 18, (2)</t>
  </si>
  <si>
    <t>Расчет</t>
  </si>
  <si>
    <t>Табл. 19, (3)</t>
  </si>
  <si>
    <t>Ко-Инвест 2007 "Общественные здания", аналог 3.9.3.090</t>
  </si>
  <si>
    <t>Табл. 2.6 сборника Ко-Инвест 2007 "Общественные здания"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</si>
</sst>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00"/>
    <numFmt numFmtId="169" formatCode="0.0"/>
    <numFmt numFmtId="170" formatCode="#,##0.0"/>
    <numFmt numFmtId="171" formatCode="0.0000"/>
    <numFmt numFmtId="172" formatCode="#,##0.000"/>
    <numFmt numFmtId="173" formatCode="0.0%"/>
    <numFmt numFmtId="174" formatCode="#,##0_р_."/>
    <numFmt numFmtId="175" formatCode="_*\ #,##0_-;* #,##0_-;_*\ &quot;-&quot;_-;_-@_-"/>
    <numFmt numFmtId="176" formatCode="[$-419]d\ mmm;@"/>
    <numFmt numFmtId="177" formatCode="mmm\ yy"/>
    <numFmt numFmtId="178" formatCode="#,##0.0&quot; м&quot;"/>
    <numFmt numFmtId="179" formatCode="#,##0.00&quot;р.&quot;"/>
    <numFmt numFmtId="180" formatCode="#,##0.00_ ;\-#,##0.00\ "/>
    <numFmt numFmtId="181" formatCode="#,##0.0000_ ;\-#,##0.0000\ "/>
    <numFmt numFmtId="182" formatCode="[$-419]mmmm\ yyyy;@"/>
    <numFmt numFmtId="183" formatCode="###.?&quot; уровень&quot;"/>
    <numFmt numFmtId="184" formatCode="#.??"/>
    <numFmt numFmtId="185" formatCode="#&quot; уровень&quot;"/>
    <numFmt numFmtId="186" formatCode="[$$-409]#,##0"/>
    <numFmt numFmtId="187" formatCode="#,##0.??"/>
    <numFmt numFmtId="188" formatCode="#,##0.????"/>
    <numFmt numFmtId="189" formatCode="dd\ mmm\ yy"/>
    <numFmt numFmtId="190" formatCode="mmmm\ yy"/>
    <numFmt numFmtId="191" formatCode="#?"/>
    <numFmt numFmtId="192" formatCode="_-* #,##0.0_р_._-;\-* #,##0.0_р_._-;_-* &quot;-&quot;?_р_._-;_-@_-"/>
    <numFmt numFmtId="193" formatCode="&quot;Величина индекса цен на&quot;\ dd/mmm/yy"/>
    <numFmt numFmtId="194" formatCode="&quot;Величина индекса цен на&quot;\ mm/yyyy"/>
    <numFmt numFmtId="195" formatCode="&quot;Затраты на строительство  на&quot;\ mm/yy"/>
    <numFmt numFmtId="196" formatCode="&quot;Индекс изменения затрат с 01.07 по&quot;\ mm/yy"/>
    <numFmt numFmtId="197" formatCode="&quot;Затраты на строительство&quot;\ mm/yy"/>
    <numFmt numFmtId="198" formatCode="_-* #,##0.00_р_._-;\-* #,##0.00_р_._-;_-* &quot;-&quot;_р_._-;_-@_-"/>
    <numFmt numFmtId="199" formatCode="&quot;анализ рынка, стр. &quot;0&quot; отчета&quot;"/>
    <numFmt numFmtId="200" formatCode="&quot;Источник информации: анализ рынка, стр. &quot;0&quot; отчета&quot;"/>
    <numFmt numFmtId="201" formatCode="&quot;*Источник информации: анализ рынка, стр. &quot;0&quot; отчета&quot;"/>
    <numFmt numFmtId="202" formatCode="&quot;**Источник информации: тоже, стр. &quot;0&quot; отчета&quot;"/>
    <numFmt numFmtId="203" formatCode="&quot;***Источник информации: тоже, стр. &quot;0&quot; отчета&quot;"/>
    <numFmt numFmtId="204" formatCode="0&quot; ком., &quot;00&quot; кв. м&quot;"/>
    <numFmt numFmtId="205" formatCode="0&quot; кв. м, &quot;0&quot; комн.&quot;"/>
    <numFmt numFmtId="206" formatCode="0.00;##,#0?,???"/>
    <numFmt numFmtId="207" formatCode="#,##?,???;\ 0.00"/>
    <numFmt numFmtId="208" formatCode="#,##0.?"/>
    <numFmt numFmtId="209" formatCode="#,##0.???"/>
    <numFmt numFmtId="210" formatCode="0.0?"/>
    <numFmt numFmtId="211" formatCode="0.0???"/>
    <numFmt numFmtId="212" formatCode="dd\ mmm\ yyyy"/>
    <numFmt numFmtId="213" formatCode="&quot;Источник информации:&quot;"/>
    <numFmt numFmtId="214" formatCode="#,##0.#??"/>
    <numFmt numFmtId="215" formatCode="#,##0.0?"/>
    <numFmt numFmtId="216" formatCode="&quot;Анализ рынка, стр. &quot;0&quot; Отчета&quot;"/>
    <numFmt numFmtId="217" formatCode="0.000"/>
    <numFmt numFmtId="218" formatCode="[$$-409]#,##0.00"/>
    <numFmt numFmtId="219" formatCode="[$$-409]#,##0.0"/>
    <numFmt numFmtId="220" formatCode="[$$-409]#,##0.000"/>
    <numFmt numFmtId="221" formatCode="0.000%"/>
    <numFmt numFmtId="222" formatCode="mmmm\ yyyy"/>
    <numFmt numFmtId="223" formatCode="&quot;Затраты на строительство с учетом НДС на&quot;\ mm/yy"/>
  </numFmts>
  <fonts count="3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vertAlign val="subscript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22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0"/>
    </font>
    <font>
      <sz val="10"/>
      <color indexed="13"/>
      <name val="Times New Roman"/>
      <family val="1"/>
    </font>
    <font>
      <i/>
      <sz val="10"/>
      <color indexed="22"/>
      <name val="Times New Roman"/>
      <family val="1"/>
    </font>
    <font>
      <sz val="9"/>
      <color indexed="9"/>
      <name val="Times New Roman"/>
      <family val="1"/>
    </font>
    <font>
      <sz val="10"/>
      <color indexed="8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8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167" fontId="2" fillId="0" borderId="0" xfId="62" applyFont="1" applyBorder="1" applyAlignment="1">
      <alignment vertical="center" wrapText="1"/>
    </xf>
    <xf numFmtId="172" fontId="2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0" fontId="2" fillId="0" borderId="0" xfId="53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17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vertical="center" wrapText="1"/>
    </xf>
    <xf numFmtId="0" fontId="4" fillId="0" borderId="0" xfId="42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10" xfId="59" applyNumberFormat="1" applyFont="1" applyFill="1" applyBorder="1" applyAlignment="1">
      <alignment horizontal="center" vertical="center"/>
    </xf>
    <xf numFmtId="173" fontId="11" fillId="0" borderId="10" xfId="59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2" fontId="11" fillId="0" borderId="10" xfId="5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14" fillId="0" borderId="0" xfId="0" applyFont="1" applyAlignment="1">
      <alignment horizontal="left"/>
    </xf>
    <xf numFmtId="4" fontId="15" fillId="0" borderId="0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shrinkToFit="1"/>
    </xf>
    <xf numFmtId="168" fontId="11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1" fillId="0" borderId="0" xfId="54" applyFont="1" applyFill="1" applyBorder="1" applyAlignment="1">
      <alignment wrapText="1"/>
      <protection/>
    </xf>
    <xf numFmtId="4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shrinkToFit="1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shrinkToFit="1"/>
    </xf>
    <xf numFmtId="170" fontId="11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54" applyFont="1" applyFill="1" applyBorder="1" applyAlignment="1">
      <alignment vertical="justify" wrapText="1"/>
      <protection/>
    </xf>
    <xf numFmtId="0" fontId="12" fillId="0" borderId="0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left" vertical="top" wrapText="1"/>
    </xf>
    <xf numFmtId="1" fontId="11" fillId="0" borderId="0" xfId="0" applyNumberFormat="1" applyFont="1" applyFill="1" applyBorder="1" applyAlignment="1">
      <alignment horizontal="right" vertical="top" wrapText="1"/>
    </xf>
    <xf numFmtId="171" fontId="11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172" fontId="11" fillId="0" borderId="0" xfId="0" applyNumberFormat="1" applyFont="1" applyFill="1" applyBorder="1" applyAlignment="1">
      <alignment/>
    </xf>
    <xf numFmtId="0" fontId="11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8" fillId="24" borderId="0" xfId="0" applyFont="1" applyFill="1" applyBorder="1" applyAlignment="1">
      <alignment vertical="center"/>
    </xf>
    <xf numFmtId="0" fontId="18" fillId="24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4" fillId="0" borderId="0" xfId="0" applyFont="1" applyAlignment="1">
      <alignment/>
    </xf>
    <xf numFmtId="175" fontId="11" fillId="0" borderId="10" xfId="6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3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3" fontId="11" fillId="0" borderId="14" xfId="59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173" fontId="11" fillId="0" borderId="15" xfId="59" applyNumberFormat="1" applyFont="1" applyFill="1" applyBorder="1" applyAlignment="1">
      <alignment horizontal="center" vertical="center"/>
    </xf>
    <xf numFmtId="3" fontId="11" fillId="0" borderId="15" xfId="59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173" fontId="11" fillId="0" borderId="16" xfId="59" applyNumberFormat="1" applyFont="1" applyFill="1" applyBorder="1" applyAlignment="1">
      <alignment horizontal="center" vertical="center"/>
    </xf>
    <xf numFmtId="173" fontId="11" fillId="0" borderId="14" xfId="59" applyNumberFormat="1" applyFont="1" applyFill="1" applyBorder="1" applyAlignment="1">
      <alignment horizontal="center" vertical="center"/>
    </xf>
    <xf numFmtId="3" fontId="11" fillId="0" borderId="16" xfId="59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3" fontId="11" fillId="0" borderId="14" xfId="62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9" fontId="11" fillId="0" borderId="11" xfId="59" applyFont="1" applyFill="1" applyBorder="1" applyAlignment="1">
      <alignment horizontal="center" vertical="center"/>
    </xf>
    <xf numFmtId="173" fontId="11" fillId="0" borderId="11" xfId="0" applyNumberFormat="1" applyFont="1" applyFill="1" applyBorder="1" applyAlignment="1">
      <alignment horizontal="center" vertical="center"/>
    </xf>
    <xf numFmtId="3" fontId="11" fillId="0" borderId="11" xfId="59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2" fontId="11" fillId="0" borderId="15" xfId="59" applyNumberFormat="1" applyFont="1" applyFill="1" applyBorder="1" applyAlignment="1">
      <alignment horizontal="center" vertical="center"/>
    </xf>
    <xf numFmtId="175" fontId="11" fillId="0" borderId="15" xfId="62" applyNumberFormat="1" applyFont="1" applyFill="1" applyBorder="1" applyAlignment="1">
      <alignment horizontal="center" vertical="center"/>
    </xf>
    <xf numFmtId="2" fontId="11" fillId="0" borderId="14" xfId="59" applyNumberFormat="1" applyFont="1" applyFill="1" applyBorder="1" applyAlignment="1">
      <alignment horizontal="center" vertical="center"/>
    </xf>
    <xf numFmtId="175" fontId="11" fillId="0" borderId="16" xfId="62" applyNumberFormat="1" applyFont="1" applyFill="1" applyBorder="1" applyAlignment="1">
      <alignment horizontal="center" vertical="center"/>
    </xf>
    <xf numFmtId="175" fontId="11" fillId="0" borderId="14" xfId="62" applyNumberFormat="1" applyFont="1" applyFill="1" applyBorder="1" applyAlignment="1">
      <alignment horizontal="center" vertical="center"/>
    </xf>
    <xf numFmtId="173" fontId="11" fillId="0" borderId="17" xfId="59" applyNumberFormat="1" applyFont="1" applyFill="1" applyBorder="1" applyAlignment="1">
      <alignment horizontal="center" vertical="center"/>
    </xf>
    <xf numFmtId="3" fontId="11" fillId="0" borderId="17" xfId="59" applyNumberFormat="1" applyFont="1" applyFill="1" applyBorder="1" applyAlignment="1">
      <alignment horizontal="center" vertical="center"/>
    </xf>
    <xf numFmtId="175" fontId="11" fillId="0" borderId="17" xfId="62" applyNumberFormat="1" applyFont="1" applyFill="1" applyBorder="1" applyAlignment="1">
      <alignment horizontal="center" vertical="center"/>
    </xf>
    <xf numFmtId="175" fontId="12" fillId="0" borderId="11" xfId="62" applyNumberFormat="1" applyFont="1" applyFill="1" applyBorder="1" applyAlignment="1">
      <alignment horizontal="center" vertical="center"/>
    </xf>
    <xf numFmtId="1" fontId="11" fillId="0" borderId="11" xfId="59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49" fontId="2" fillId="17" borderId="10" xfId="0" applyNumberFormat="1" applyFont="1" applyFill="1" applyBorder="1" applyAlignment="1">
      <alignment vertical="center" wrapText="1"/>
    </xf>
    <xf numFmtId="1" fontId="2" fillId="17" borderId="10" xfId="0" applyNumberFormat="1" applyFont="1" applyFill="1" applyBorder="1" applyAlignment="1">
      <alignment horizontal="center" vertical="center" wrapText="1"/>
    </xf>
    <xf numFmtId="1" fontId="2" fillId="17" borderId="10" xfId="59" applyNumberFormat="1" applyFont="1" applyFill="1" applyBorder="1" applyAlignment="1">
      <alignment horizontal="center" vertical="center" wrapText="1"/>
    </xf>
    <xf numFmtId="0" fontId="2" fillId="17" borderId="0" xfId="0" applyFont="1" applyFill="1" applyAlignment="1">
      <alignment/>
    </xf>
    <xf numFmtId="49" fontId="1" fillId="17" borderId="10" xfId="0" applyNumberFormat="1" applyFont="1" applyFill="1" applyBorder="1" applyAlignment="1">
      <alignment horizontal="center" vertical="center" wrapText="1"/>
    </xf>
    <xf numFmtId="49" fontId="1" fillId="17" borderId="10" xfId="0" applyNumberFormat="1" applyFont="1" applyFill="1" applyBorder="1" applyAlignment="1">
      <alignment vertical="center" wrapText="1"/>
    </xf>
    <xf numFmtId="0" fontId="1" fillId="17" borderId="10" xfId="0" applyFont="1" applyFill="1" applyBorder="1" applyAlignment="1">
      <alignment horizontal="right" vertical="center" wrapText="1"/>
    </xf>
    <xf numFmtId="4" fontId="1" fillId="17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67" fontId="1" fillId="0" borderId="10" xfId="62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9" fontId="2" fillId="0" borderId="10" xfId="59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59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25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25" borderId="10" xfId="0" applyFont="1" applyFill="1" applyBorder="1" applyAlignment="1">
      <alignment horizontal="center"/>
    </xf>
    <xf numFmtId="2" fontId="2" fillId="25" borderId="10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5" borderId="10" xfId="0" applyNumberFormat="1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17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" fontId="2" fillId="25" borderId="10" xfId="0" applyNumberFormat="1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3" fontId="2" fillId="25" borderId="10" xfId="0" applyNumberFormat="1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42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>
      <alignment/>
    </xf>
    <xf numFmtId="173" fontId="2" fillId="20" borderId="19" xfId="0" applyNumberFormat="1" applyFont="1" applyFill="1" applyBorder="1" applyAlignment="1" applyProtection="1">
      <alignment horizontal="center" vertical="center"/>
      <protection locked="0"/>
    </xf>
    <xf numFmtId="173" fontId="2" fillId="2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167" fontId="2" fillId="0" borderId="10" xfId="62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3" fontId="11" fillId="0" borderId="20" xfId="59" applyNumberFormat="1" applyFont="1" applyFill="1" applyBorder="1" applyAlignment="1">
      <alignment horizontal="center" vertical="center"/>
    </xf>
    <xf numFmtId="43" fontId="2" fillId="20" borderId="10" xfId="59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4" xfId="42" applyNumberFormat="1" applyFont="1" applyFill="1" applyBorder="1" applyAlignment="1" applyProtection="1">
      <alignment horizontal="center" wrapText="1"/>
      <protection locked="0"/>
    </xf>
    <xf numFmtId="49" fontId="2" fillId="0" borderId="14" xfId="42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wrapText="1"/>
      <protection locked="0"/>
    </xf>
    <xf numFmtId="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82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0" fillId="17" borderId="10" xfId="0" applyNumberFormat="1" applyFont="1" applyFill="1" applyBorder="1" applyAlignment="1">
      <alignment horizontal="center" vertical="center" wrapText="1"/>
    </xf>
    <xf numFmtId="3" fontId="11" fillId="0" borderId="21" xfId="59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18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86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2" fontId="11" fillId="0" borderId="20" xfId="59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73" fontId="1" fillId="0" borderId="10" xfId="59" applyNumberFormat="1" applyFont="1" applyFill="1" applyBorder="1" applyAlignment="1" applyProtection="1">
      <alignment horizontal="center"/>
      <protection/>
    </xf>
    <xf numFmtId="173" fontId="1" fillId="0" borderId="14" xfId="59" applyNumberFormat="1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shrinkToFit="1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shrinkToFi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0" fillId="0" borderId="0" xfId="0" applyBorder="1" applyAlignment="1" applyProtection="1">
      <alignment/>
      <protection/>
    </xf>
    <xf numFmtId="173" fontId="1" fillId="0" borderId="0" xfId="59" applyNumberFormat="1" applyFont="1" applyFill="1" applyBorder="1" applyAlignment="1" applyProtection="1">
      <alignment horizontal="right"/>
      <protection/>
    </xf>
    <xf numFmtId="173" fontId="2" fillId="0" borderId="0" xfId="59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3" fontId="2" fillId="0" borderId="0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 wrapText="1"/>
      <protection/>
    </xf>
    <xf numFmtId="41" fontId="2" fillId="0" borderId="10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3" fontId="2" fillId="0" borderId="14" xfId="0" applyNumberFormat="1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 wrapText="1"/>
      <protection/>
    </xf>
    <xf numFmtId="41" fontId="2" fillId="0" borderId="19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wrapText="1"/>
      <protection/>
    </xf>
    <xf numFmtId="43" fontId="2" fillId="0" borderId="10" xfId="59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/>
      <protection/>
    </xf>
    <xf numFmtId="183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62" applyNumberFormat="1" applyFont="1" applyFill="1" applyBorder="1" applyAlignment="1" applyProtection="1">
      <alignment horizontal="center"/>
      <protection/>
    </xf>
    <xf numFmtId="3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10" xfId="0" applyFont="1" applyFill="1" applyBorder="1" applyAlignment="1" applyProtection="1">
      <alignment horizontal="center" vertical="center" wrapText="1"/>
      <protection locked="0"/>
    </xf>
    <xf numFmtId="4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10" xfId="0" applyNumberFormat="1" applyFont="1" applyFill="1" applyBorder="1" applyAlignment="1" applyProtection="1">
      <alignment horizontal="center" vertical="center"/>
      <protection locked="0"/>
    </xf>
    <xf numFmtId="172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0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191" fontId="11" fillId="0" borderId="20" xfId="0" applyNumberFormat="1" applyFont="1" applyFill="1" applyBorder="1" applyAlignment="1">
      <alignment horizontal="center" vertical="center"/>
    </xf>
    <xf numFmtId="191" fontId="11" fillId="0" borderId="10" xfId="0" applyNumberFormat="1" applyFont="1" applyFill="1" applyBorder="1" applyAlignment="1">
      <alignment horizontal="center" vertical="center"/>
    </xf>
    <xf numFmtId="191" fontId="11" fillId="0" borderId="21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173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73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shrinkToFit="1"/>
      <protection/>
    </xf>
    <xf numFmtId="173" fontId="2" fillId="0" borderId="0" xfId="59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86" fontId="2" fillId="0" borderId="14" xfId="0" applyNumberFormat="1" applyFont="1" applyFill="1" applyBorder="1" applyAlignment="1" applyProtection="1">
      <alignment horizontal="center"/>
      <protection locked="0"/>
    </xf>
    <xf numFmtId="182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176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" fontId="2" fillId="0" borderId="14" xfId="0" applyNumberFormat="1" applyFont="1" applyFill="1" applyBorder="1" applyAlignment="1" applyProtection="1">
      <alignment horizontal="center"/>
      <protection locked="0"/>
    </xf>
    <xf numFmtId="43" fontId="2" fillId="20" borderId="19" xfId="59" applyNumberFormat="1" applyFont="1" applyFill="1" applyBorder="1" applyAlignment="1" applyProtection="1">
      <alignment horizontal="center"/>
      <protection locked="0"/>
    </xf>
    <xf numFmtId="198" fontId="21" fillId="20" borderId="0" xfId="0" applyNumberFormat="1" applyFont="1" applyFill="1" applyAlignment="1">
      <alignment/>
    </xf>
    <xf numFmtId="41" fontId="2" fillId="20" borderId="0" xfId="0" applyNumberFormat="1" applyFont="1" applyFill="1" applyAlignment="1">
      <alignment/>
    </xf>
    <xf numFmtId="199" fontId="2" fillId="20" borderId="14" xfId="0" applyNumberFormat="1" applyFont="1" applyFill="1" applyBorder="1" applyAlignment="1" applyProtection="1">
      <alignment horizontal="left" vertical="center" wrapText="1"/>
      <protection locked="0"/>
    </xf>
    <xf numFmtId="199" fontId="2" fillId="20" borderId="25" xfId="0" applyNumberFormat="1" applyFont="1" applyFill="1" applyBorder="1" applyAlignment="1" applyProtection="1">
      <alignment horizontal="left" vertical="center" wrapText="1"/>
      <protection locked="0"/>
    </xf>
    <xf numFmtId="43" fontId="2" fillId="0" borderId="14" xfId="59" applyNumberFormat="1" applyFont="1" applyFill="1" applyBorder="1" applyAlignment="1" applyProtection="1">
      <alignment horizontal="center"/>
      <protection/>
    </xf>
    <xf numFmtId="43" fontId="2" fillId="0" borderId="19" xfId="59" applyNumberFormat="1" applyFont="1" applyFill="1" applyBorder="1" applyAlignment="1" applyProtection="1">
      <alignment horizontal="center"/>
      <protection/>
    </xf>
    <xf numFmtId="43" fontId="2" fillId="0" borderId="25" xfId="59" applyNumberFormat="1" applyFont="1" applyFill="1" applyBorder="1" applyAlignment="1" applyProtection="1">
      <alignment horizontal="center"/>
      <protection/>
    </xf>
    <xf numFmtId="20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0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20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/>
    </xf>
    <xf numFmtId="49" fontId="2" fillId="0" borderId="10" xfId="42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49" fontId="2" fillId="0" borderId="14" xfId="42" applyNumberFormat="1" applyFont="1" applyFill="1" applyBorder="1" applyAlignment="1" applyProtection="1">
      <alignment horizontal="center" wrapText="1"/>
      <protection locked="0"/>
    </xf>
    <xf numFmtId="49" fontId="2" fillId="0" borderId="10" xfId="42" applyNumberFormat="1" applyFont="1" applyFill="1" applyBorder="1" applyAlignment="1" applyProtection="1">
      <alignment horizontal="left" vertical="center" wrapText="1"/>
      <protection locked="0"/>
    </xf>
    <xf numFmtId="49" fontId="2" fillId="0" borderId="14" xfId="42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20" borderId="14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>
      <alignment wrapText="1"/>
    </xf>
    <xf numFmtId="0" fontId="11" fillId="0" borderId="2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wrapText="1"/>
    </xf>
    <xf numFmtId="3" fontId="12" fillId="0" borderId="24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wrapText="1"/>
    </xf>
    <xf numFmtId="0" fontId="11" fillId="0" borderId="2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wrapText="1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30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0" fontId="12" fillId="24" borderId="33" xfId="0" applyFont="1" applyFill="1" applyBorder="1" applyAlignment="1">
      <alignment vertical="center" wrapText="1"/>
    </xf>
    <xf numFmtId="0" fontId="11" fillId="24" borderId="34" xfId="0" applyFont="1" applyFill="1" applyBorder="1" applyAlignment="1">
      <alignment horizontal="center" vertical="center" wrapText="1"/>
    </xf>
    <xf numFmtId="3" fontId="12" fillId="24" borderId="35" xfId="0" applyNumberFormat="1" applyFont="1" applyFill="1" applyBorder="1" applyAlignment="1">
      <alignment horizontal="center" vertical="center"/>
    </xf>
    <xf numFmtId="3" fontId="12" fillId="24" borderId="36" xfId="0" applyNumberFormat="1" applyFont="1" applyFill="1" applyBorder="1" applyAlignment="1">
      <alignment horizontal="center" vertical="center"/>
    </xf>
    <xf numFmtId="3" fontId="12" fillId="24" borderId="37" xfId="0" applyNumberFormat="1" applyFont="1" applyFill="1" applyBorder="1" applyAlignment="1">
      <alignment horizontal="center" vertical="center"/>
    </xf>
    <xf numFmtId="3" fontId="12" fillId="24" borderId="22" xfId="0" applyNumberFormat="1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wrapText="1"/>
    </xf>
    <xf numFmtId="0" fontId="11" fillId="24" borderId="26" xfId="0" applyFont="1" applyFill="1" applyBorder="1" applyAlignment="1">
      <alignment horizontal="center" vertical="center" wrapText="1"/>
    </xf>
    <xf numFmtId="3" fontId="11" fillId="24" borderId="38" xfId="0" applyNumberFormat="1" applyFont="1" applyFill="1" applyBorder="1" applyAlignment="1">
      <alignment horizontal="center" vertical="center"/>
    </xf>
    <xf numFmtId="3" fontId="11" fillId="24" borderId="19" xfId="0" applyNumberFormat="1" applyFont="1" applyFill="1" applyBorder="1" applyAlignment="1">
      <alignment horizontal="center" vertical="center"/>
    </xf>
    <xf numFmtId="3" fontId="11" fillId="24" borderId="2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wrapText="1"/>
    </xf>
    <xf numFmtId="3" fontId="12" fillId="0" borderId="24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 vertical="center"/>
    </xf>
    <xf numFmtId="173" fontId="11" fillId="0" borderId="29" xfId="59" applyNumberFormat="1" applyFont="1" applyFill="1" applyBorder="1" applyAlignment="1">
      <alignment horizontal="center" vertical="center"/>
    </xf>
    <xf numFmtId="173" fontId="11" fillId="0" borderId="30" xfId="59" applyNumberFormat="1" applyFont="1" applyFill="1" applyBorder="1" applyAlignment="1">
      <alignment horizontal="center" vertical="center"/>
    </xf>
    <xf numFmtId="173" fontId="11" fillId="0" borderId="31" xfId="59" applyNumberFormat="1" applyFont="1" applyFill="1" applyBorder="1" applyAlignment="1">
      <alignment horizontal="center" vertical="center"/>
    </xf>
    <xf numFmtId="173" fontId="11" fillId="0" borderId="41" xfId="59" applyNumberFormat="1" applyFont="1" applyFill="1" applyBorder="1" applyAlignment="1">
      <alignment horizontal="center" vertical="center"/>
    </xf>
    <xf numFmtId="173" fontId="11" fillId="0" borderId="42" xfId="59" applyNumberFormat="1" applyFont="1" applyFill="1" applyBorder="1" applyAlignment="1">
      <alignment horizontal="center" vertical="center"/>
    </xf>
    <xf numFmtId="9" fontId="11" fillId="0" borderId="32" xfId="59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wrapText="1"/>
    </xf>
    <xf numFmtId="3" fontId="12" fillId="0" borderId="36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4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73" fontId="22" fillId="0" borderId="0" xfId="0" applyNumberFormat="1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215" fontId="2" fillId="0" borderId="10" xfId="0" applyNumberFormat="1" applyFont="1" applyFill="1" applyBorder="1" applyAlignment="1" applyProtection="1">
      <alignment horizontal="center" wrapText="1"/>
      <protection/>
    </xf>
    <xf numFmtId="215" fontId="2" fillId="0" borderId="10" xfId="0" applyNumberFormat="1" applyFont="1" applyFill="1" applyBorder="1" applyAlignment="1" applyProtection="1">
      <alignment horizontal="center" wrapText="1"/>
      <protection locked="0"/>
    </xf>
    <xf numFmtId="215" fontId="2" fillId="0" borderId="14" xfId="0" applyNumberFormat="1" applyFont="1" applyFill="1" applyBorder="1" applyAlignment="1" applyProtection="1">
      <alignment horizontal="center" wrapText="1"/>
      <protection locked="0"/>
    </xf>
    <xf numFmtId="0" fontId="1" fillId="0" borderId="29" xfId="0" applyFont="1" applyFill="1" applyBorder="1" applyAlignment="1" applyProtection="1">
      <alignment horizont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3" fontId="11" fillId="24" borderId="26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70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193" fontId="2" fillId="0" borderId="10" xfId="0" applyNumberFormat="1" applyFont="1" applyBorder="1" applyAlignment="1" applyProtection="1">
      <alignment horizontal="left" vertical="center" wrapText="1"/>
      <protection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172" fontId="2" fillId="0" borderId="19" xfId="0" applyNumberFormat="1" applyFont="1" applyBorder="1" applyAlignment="1" applyProtection="1">
      <alignment horizontal="center" vertical="center" wrapText="1"/>
      <protection/>
    </xf>
    <xf numFmtId="172" fontId="2" fillId="0" borderId="25" xfId="0" applyNumberFormat="1" applyFont="1" applyBorder="1" applyAlignment="1" applyProtection="1">
      <alignment horizontal="left" vertical="center" wrapText="1"/>
      <protection/>
    </xf>
    <xf numFmtId="3" fontId="11" fillId="24" borderId="25" xfId="0" applyNumberFormat="1" applyFont="1" applyFill="1" applyBorder="1" applyAlignment="1">
      <alignment horizontal="center" vertical="center"/>
    </xf>
    <xf numFmtId="171" fontId="2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3" fontId="12" fillId="0" borderId="21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3" fontId="12" fillId="0" borderId="31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181" fontId="2" fillId="0" borderId="10" xfId="62" applyNumberFormat="1" applyFont="1" applyFill="1" applyBorder="1" applyAlignment="1" applyProtection="1">
      <alignment horizontal="center"/>
      <protection/>
    </xf>
    <xf numFmtId="9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62" applyNumberFormat="1" applyFont="1" applyFill="1" applyBorder="1" applyAlignment="1" applyProtection="1">
      <alignment horizontal="center" vertical="center"/>
      <protection/>
    </xf>
    <xf numFmtId="3" fontId="1" fillId="0" borderId="14" xfId="62" applyNumberFormat="1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11" fillId="0" borderId="38" xfId="0" applyFont="1" applyFill="1" applyBorder="1" applyAlignment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43" fontId="0" fillId="0" borderId="0" xfId="0" applyNumberFormat="1" applyAlignment="1">
      <alignment horizontal="center"/>
    </xf>
    <xf numFmtId="9" fontId="1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173" fontId="2" fillId="0" borderId="10" xfId="59" applyNumberFormat="1" applyFont="1" applyFill="1" applyBorder="1" applyAlignment="1" applyProtection="1">
      <alignment horizontal="center"/>
      <protection/>
    </xf>
    <xf numFmtId="173" fontId="2" fillId="0" borderId="14" xfId="59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9" fontId="1" fillId="0" borderId="10" xfId="59" applyNumberFormat="1" applyFont="1" applyFill="1" applyBorder="1" applyAlignment="1" applyProtection="1">
      <alignment horizontal="center"/>
      <protection/>
    </xf>
    <xf numFmtId="211" fontId="2" fillId="0" borderId="10" xfId="0" applyNumberFormat="1" applyFont="1" applyFill="1" applyBorder="1" applyAlignment="1" applyProtection="1">
      <alignment horizontal="center" vertical="center"/>
      <protection locked="0"/>
    </xf>
    <xf numFmtId="211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9" fontId="2" fillId="0" borderId="10" xfId="59" applyFont="1" applyFill="1" applyBorder="1" applyAlignment="1" applyProtection="1">
      <alignment horizontal="center" vertical="center" wrapText="1"/>
      <protection locked="0"/>
    </xf>
    <xf numFmtId="9" fontId="2" fillId="0" borderId="14" xfId="59" applyFont="1" applyFill="1" applyBorder="1" applyAlignment="1" applyProtection="1">
      <alignment horizontal="center" vertical="center" wrapText="1"/>
      <protection locked="0"/>
    </xf>
    <xf numFmtId="220" fontId="2" fillId="0" borderId="0" xfId="0" applyNumberFormat="1" applyFont="1" applyFill="1" applyAlignment="1">
      <alignment/>
    </xf>
    <xf numFmtId="173" fontId="1" fillId="0" borderId="10" xfId="59" applyNumberFormat="1" applyFont="1" applyFill="1" applyBorder="1" applyAlignment="1" applyProtection="1">
      <alignment horizontal="center" vertical="center"/>
      <protection/>
    </xf>
    <xf numFmtId="173" fontId="1" fillId="0" borderId="14" xfId="59" applyNumberFormat="1" applyFont="1" applyFill="1" applyBorder="1" applyAlignment="1" applyProtection="1">
      <alignment horizontal="center" vertical="center"/>
      <protection/>
    </xf>
    <xf numFmtId="9" fontId="2" fillId="0" borderId="10" xfId="0" applyNumberFormat="1" applyFont="1" applyFill="1" applyBorder="1" applyAlignment="1" applyProtection="1">
      <alignment horizontal="center" vertical="center"/>
      <protection locked="0"/>
    </xf>
    <xf numFmtId="9" fontId="2" fillId="0" borderId="14" xfId="0" applyNumberFormat="1" applyFont="1" applyFill="1" applyBorder="1" applyAlignment="1" applyProtection="1">
      <alignment horizontal="center" vertical="center"/>
      <protection locked="0"/>
    </xf>
    <xf numFmtId="9" fontId="2" fillId="0" borderId="10" xfId="0" applyNumberFormat="1" applyFont="1" applyFill="1" applyBorder="1" applyAlignment="1" applyProtection="1">
      <alignment horizontal="center" vertical="center"/>
      <protection locked="0"/>
    </xf>
    <xf numFmtId="9" fontId="2" fillId="0" borderId="14" xfId="0" applyNumberFormat="1" applyFont="1" applyFill="1" applyBorder="1" applyAlignment="1" applyProtection="1">
      <alignment horizontal="center" vertical="center"/>
      <protection locked="0"/>
    </xf>
    <xf numFmtId="9" fontId="2" fillId="0" borderId="10" xfId="0" applyNumberFormat="1" applyFont="1" applyFill="1" applyBorder="1" applyAlignment="1" applyProtection="1">
      <alignment horizontal="center"/>
      <protection locked="0"/>
    </xf>
    <xf numFmtId="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vertical="center"/>
      <protection/>
    </xf>
    <xf numFmtId="173" fontId="2" fillId="0" borderId="19" xfId="59" applyNumberFormat="1" applyFont="1" applyFill="1" applyBorder="1" applyAlignment="1" applyProtection="1">
      <alignment horizontal="center"/>
      <protection/>
    </xf>
    <xf numFmtId="173" fontId="2" fillId="0" borderId="25" xfId="59" applyNumberFormat="1" applyFont="1" applyFill="1" applyBorder="1" applyAlignment="1" applyProtection="1">
      <alignment horizontal="center"/>
      <protection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38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 applyProtection="1">
      <alignment horizontal="center"/>
      <protection/>
    </xf>
    <xf numFmtId="9" fontId="2" fillId="0" borderId="14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222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171" fontId="2" fillId="0" borderId="10" xfId="0" applyNumberFormat="1" applyFont="1" applyFill="1" applyBorder="1" applyAlignment="1" applyProtection="1">
      <alignment horizontal="center" vertical="center"/>
      <protection/>
    </xf>
    <xf numFmtId="9" fontId="2" fillId="0" borderId="10" xfId="59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9" fontId="2" fillId="0" borderId="10" xfId="5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9" fontId="2" fillId="0" borderId="10" xfId="59" applyNumberFormat="1" applyFont="1" applyFill="1" applyBorder="1" applyAlignment="1" applyProtection="1">
      <alignment horizontal="center" vertical="center" wrapText="1"/>
      <protection/>
    </xf>
    <xf numFmtId="9" fontId="1" fillId="0" borderId="10" xfId="59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171" fontId="2" fillId="0" borderId="10" xfId="62" applyNumberFormat="1" applyFont="1" applyFill="1" applyBorder="1" applyAlignment="1" applyProtection="1">
      <alignment horizontal="center"/>
      <protection/>
    </xf>
    <xf numFmtId="9" fontId="2" fillId="0" borderId="10" xfId="0" applyNumberFormat="1" applyFont="1" applyFill="1" applyBorder="1" applyAlignment="1" applyProtection="1">
      <alignment horizontal="center" vertical="center"/>
      <protection/>
    </xf>
    <xf numFmtId="9" fontId="2" fillId="0" borderId="14" xfId="0" applyNumberFormat="1" applyFont="1" applyFill="1" applyBorder="1" applyAlignment="1" applyProtection="1">
      <alignment horizontal="center" vertical="center"/>
      <protection/>
    </xf>
    <xf numFmtId="39" fontId="2" fillId="0" borderId="10" xfId="0" applyNumberFormat="1" applyFont="1" applyFill="1" applyBorder="1" applyAlignment="1" applyProtection="1">
      <alignment horizont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9" fontId="2" fillId="0" borderId="10" xfId="0" applyNumberFormat="1" applyFont="1" applyFill="1" applyBorder="1" applyAlignment="1" applyProtection="1">
      <alignment horizontal="center"/>
      <protection/>
    </xf>
    <xf numFmtId="9" fontId="2" fillId="0" borderId="14" xfId="0" applyNumberFormat="1" applyFont="1" applyFill="1" applyBorder="1" applyAlignment="1" applyProtection="1">
      <alignment horizontal="center"/>
      <protection/>
    </xf>
    <xf numFmtId="3" fontId="1" fillId="0" borderId="10" xfId="62" applyNumberFormat="1" applyFont="1" applyFill="1" applyBorder="1" applyAlignment="1" applyProtection="1">
      <alignment horizontal="center" vertical="center"/>
      <protection/>
    </xf>
    <xf numFmtId="3" fontId="1" fillId="0" borderId="14" xfId="62" applyNumberFormat="1" applyFont="1" applyFill="1" applyBorder="1" applyAlignment="1" applyProtection="1">
      <alignment horizontal="center" vertical="center"/>
      <protection/>
    </xf>
    <xf numFmtId="9" fontId="2" fillId="0" borderId="10" xfId="62" applyNumberFormat="1" applyFont="1" applyFill="1" applyBorder="1" applyAlignment="1" applyProtection="1">
      <alignment horizontal="center" vertical="center"/>
      <protection/>
    </xf>
    <xf numFmtId="9" fontId="2" fillId="0" borderId="14" xfId="62" applyNumberFormat="1" applyFont="1" applyFill="1" applyBorder="1" applyAlignment="1" applyProtection="1">
      <alignment horizontal="center" vertical="center"/>
      <protection/>
    </xf>
    <xf numFmtId="9" fontId="2" fillId="0" borderId="15" xfId="62" applyNumberFormat="1" applyFont="1" applyFill="1" applyBorder="1" applyAlignment="1" applyProtection="1">
      <alignment horizontal="center" vertical="center"/>
      <protection/>
    </xf>
    <xf numFmtId="9" fontId="2" fillId="0" borderId="11" xfId="6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2" fontId="2" fillId="0" borderId="10" xfId="62" applyNumberFormat="1" applyFont="1" applyFill="1" applyBorder="1" applyAlignment="1" applyProtection="1">
      <alignment horizontal="center"/>
      <protection/>
    </xf>
    <xf numFmtId="22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34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wrapText="1"/>
    </xf>
    <xf numFmtId="3" fontId="11" fillId="0" borderId="44" xfId="59" applyNumberFormat="1" applyFont="1" applyFill="1" applyBorder="1" applyAlignment="1">
      <alignment horizontal="center" vertical="center"/>
    </xf>
    <xf numFmtId="3" fontId="11" fillId="0" borderId="36" xfId="59" applyNumberFormat="1" applyFont="1" applyFill="1" applyBorder="1" applyAlignment="1">
      <alignment horizontal="center" vertical="center"/>
    </xf>
    <xf numFmtId="3" fontId="11" fillId="0" borderId="43" xfId="59" applyNumberFormat="1" applyFont="1" applyFill="1" applyBorder="1" applyAlignment="1">
      <alignment horizontal="center" vertical="center"/>
    </xf>
    <xf numFmtId="3" fontId="11" fillId="0" borderId="37" xfId="59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170" fontId="12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175" fontId="11" fillId="0" borderId="20" xfId="62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223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2" fillId="0" borderId="47" xfId="0" applyFont="1" applyFill="1" applyBorder="1" applyAlignment="1" applyProtection="1">
      <alignment vertical="center" wrapText="1"/>
      <protection locked="0"/>
    </xf>
    <xf numFmtId="3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6" fillId="0" borderId="50" xfId="0" applyFont="1" applyFill="1" applyBorder="1" applyAlignment="1">
      <alignment/>
    </xf>
    <xf numFmtId="170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/>
      <protection/>
    </xf>
    <xf numFmtId="184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4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216" fontId="2" fillId="20" borderId="17" xfId="0" applyNumberFormat="1" applyFont="1" applyFill="1" applyBorder="1" applyAlignment="1" applyProtection="1">
      <alignment horizontal="left" vertical="center"/>
      <protection locked="0"/>
    </xf>
    <xf numFmtId="216" fontId="0" fillId="20" borderId="21" xfId="0" applyNumberFormat="1" applyFont="1" applyFill="1" applyBorder="1" applyAlignment="1" applyProtection="1">
      <alignment horizontal="left"/>
      <protection locked="0"/>
    </xf>
    <xf numFmtId="216" fontId="0" fillId="20" borderId="11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169" fontId="2" fillId="20" borderId="17" xfId="0" applyNumberFormat="1" applyFont="1" applyFill="1" applyBorder="1" applyAlignment="1" applyProtection="1">
      <alignment horizontal="center" vertical="center"/>
      <protection locked="0"/>
    </xf>
    <xf numFmtId="169" fontId="2" fillId="2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211" fontId="2" fillId="20" borderId="17" xfId="0" applyNumberFormat="1" applyFont="1" applyFill="1" applyBorder="1" applyAlignment="1" applyProtection="1">
      <alignment horizontal="center" vertical="center"/>
      <protection locked="0"/>
    </xf>
    <xf numFmtId="211" fontId="2" fillId="20" borderId="15" xfId="0" applyNumberFormat="1" applyFont="1" applyFill="1" applyBorder="1" applyAlignment="1" applyProtection="1">
      <alignment horizontal="center" vertical="center"/>
      <protection locked="0"/>
    </xf>
    <xf numFmtId="210" fontId="2" fillId="20" borderId="17" xfId="0" applyNumberFormat="1" applyFont="1" applyFill="1" applyBorder="1" applyAlignment="1" applyProtection="1">
      <alignment horizontal="center" vertical="center"/>
      <protection locked="0"/>
    </xf>
    <xf numFmtId="210" fontId="2" fillId="2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wrapText="1"/>
      <protection locked="0"/>
    </xf>
    <xf numFmtId="0" fontId="0" fillId="0" borderId="52" xfId="0" applyFill="1" applyBorder="1" applyAlignment="1" applyProtection="1">
      <alignment wrapText="1"/>
      <protection locked="0"/>
    </xf>
    <xf numFmtId="0" fontId="0" fillId="0" borderId="53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54" xfId="0" applyFill="1" applyBorder="1" applyAlignment="1" applyProtection="1">
      <alignment wrapText="1"/>
      <protection locked="0"/>
    </xf>
    <xf numFmtId="0" fontId="0" fillId="0" borderId="55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wrapText="1"/>
      <protection locked="0"/>
    </xf>
    <xf numFmtId="0" fontId="0" fillId="0" borderId="22" xfId="0" applyFill="1" applyBorder="1" applyAlignment="1" applyProtection="1">
      <alignment wrapText="1"/>
      <protection locked="0"/>
    </xf>
    <xf numFmtId="9" fontId="2" fillId="20" borderId="10" xfId="59" applyFont="1" applyFill="1" applyBorder="1" applyAlignment="1" applyProtection="1">
      <alignment horizontal="center" vertical="center"/>
      <protection locked="0"/>
    </xf>
    <xf numFmtId="171" fontId="2" fillId="20" borderId="10" xfId="59" applyNumberFormat="1" applyFont="1" applyFill="1" applyBorder="1" applyAlignment="1" applyProtection="1">
      <alignment horizontal="center" vertical="center"/>
      <protection locked="0"/>
    </xf>
    <xf numFmtId="3" fontId="2" fillId="20" borderId="10" xfId="59" applyNumberFormat="1" applyFont="1" applyFill="1" applyBorder="1" applyAlignment="1" applyProtection="1">
      <alignment horizontal="center" vertical="center"/>
      <protection locked="0"/>
    </xf>
    <xf numFmtId="0" fontId="2" fillId="20" borderId="10" xfId="0" applyFont="1" applyFill="1" applyBorder="1" applyAlignment="1" applyProtection="1">
      <alignment vertical="center" wrapText="1"/>
      <protection locked="0"/>
    </xf>
    <xf numFmtId="0" fontId="0" fillId="20" borderId="10" xfId="0" applyFill="1" applyBorder="1" applyAlignment="1" applyProtection="1">
      <alignment/>
      <protection locked="0"/>
    </xf>
    <xf numFmtId="0" fontId="0" fillId="20" borderId="14" xfId="0" applyFill="1" applyBorder="1" applyAlignment="1" applyProtection="1">
      <alignment/>
      <protection locked="0"/>
    </xf>
    <xf numFmtId="9" fontId="2" fillId="20" borderId="10" xfId="59" applyNumberFormat="1" applyFont="1" applyFill="1" applyBorder="1" applyAlignment="1" applyProtection="1">
      <alignment horizontal="center" vertical="center"/>
      <protection locked="0"/>
    </xf>
    <xf numFmtId="0" fontId="2" fillId="20" borderId="10" xfId="0" applyFont="1" applyFill="1" applyBorder="1" applyAlignment="1" applyProtection="1">
      <alignment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173" fontId="2" fillId="0" borderId="10" xfId="0" applyNumberFormat="1" applyFont="1" applyFill="1" applyBorder="1" applyAlignment="1" applyProtection="1">
      <alignment horizontal="center" vertical="center"/>
      <protection/>
    </xf>
    <xf numFmtId="173" fontId="2" fillId="20" borderId="10" xfId="0" applyNumberFormat="1" applyFont="1" applyFill="1" applyBorder="1" applyAlignment="1" applyProtection="1">
      <alignment horizontal="center" vertical="center"/>
      <protection locked="0"/>
    </xf>
    <xf numFmtId="199" fontId="2" fillId="20" borderId="40" xfId="0" applyNumberFormat="1" applyFont="1" applyFill="1" applyBorder="1" applyAlignment="1" applyProtection="1">
      <alignment horizontal="left" vertical="center" wrapText="1"/>
      <protection locked="0"/>
    </xf>
    <xf numFmtId="199" fontId="2" fillId="20" borderId="26" xfId="0" applyNumberFormat="1" applyFont="1" applyFill="1" applyBorder="1" applyAlignment="1" applyProtection="1">
      <alignment horizontal="left" vertical="center" wrapText="1"/>
      <protection locked="0"/>
    </xf>
    <xf numFmtId="199" fontId="2" fillId="20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58" xfId="0" applyFont="1" applyFill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horizontal="center" wrapText="1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199" fontId="2" fillId="20" borderId="17" xfId="0" applyNumberFormat="1" applyFont="1" applyFill="1" applyBorder="1" applyAlignment="1" applyProtection="1">
      <alignment horizontal="left" vertical="center" wrapText="1"/>
      <protection locked="0"/>
    </xf>
    <xf numFmtId="199" fontId="2" fillId="20" borderId="21" xfId="0" applyNumberFormat="1" applyFont="1" applyFill="1" applyBorder="1" applyAlignment="1" applyProtection="1">
      <alignment horizontal="left" vertical="center" wrapText="1"/>
      <protection locked="0"/>
    </xf>
    <xf numFmtId="199" fontId="2" fillId="2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19" fillId="0" borderId="58" xfId="0" applyFont="1" applyBorder="1" applyAlignment="1" applyProtection="1">
      <alignment horizontal="center"/>
      <protection/>
    </xf>
    <xf numFmtId="0" fontId="2" fillId="20" borderId="40" xfId="0" applyFont="1" applyFill="1" applyBorder="1" applyAlignment="1" applyProtection="1">
      <alignment vertical="center" wrapText="1"/>
      <protection locked="0"/>
    </xf>
    <xf numFmtId="0" fontId="0" fillId="20" borderId="26" xfId="0" applyFill="1" applyBorder="1" applyAlignment="1" applyProtection="1">
      <alignment vertical="center" wrapText="1"/>
      <protection locked="0"/>
    </xf>
    <xf numFmtId="0" fontId="0" fillId="20" borderId="23" xfId="0" applyFill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/>
      <protection/>
    </xf>
    <xf numFmtId="173" fontId="1" fillId="0" borderId="30" xfId="59" applyNumberFormat="1" applyFont="1" applyFill="1" applyBorder="1" applyAlignment="1" applyProtection="1">
      <alignment horizontal="center"/>
      <protection/>
    </xf>
    <xf numFmtId="173" fontId="1" fillId="0" borderId="10" xfId="59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173" fontId="2" fillId="2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vertical="center" wrapText="1"/>
      <protection/>
    </xf>
    <xf numFmtId="0" fontId="1" fillId="0" borderId="60" xfId="0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/>
      <protection/>
    </xf>
    <xf numFmtId="0" fontId="1" fillId="0" borderId="61" xfId="0" applyFont="1" applyFill="1" applyBorder="1" applyAlignment="1" applyProtection="1">
      <alignment horizontal="center" vertical="center" shrinkToFit="1"/>
      <protection/>
    </xf>
    <xf numFmtId="0" fontId="1" fillId="0" borderId="62" xfId="0" applyFont="1" applyFill="1" applyBorder="1" applyAlignment="1" applyProtection="1">
      <alignment horizontal="center" vertical="center" shrinkToFit="1"/>
      <protection/>
    </xf>
    <xf numFmtId="0" fontId="0" fillId="0" borderId="36" xfId="0" applyBorder="1" applyAlignment="1" applyProtection="1">
      <alignment vertical="center"/>
      <protection/>
    </xf>
    <xf numFmtId="9" fontId="2" fillId="0" borderId="10" xfId="0" applyNumberFormat="1" applyFont="1" applyFill="1" applyBorder="1" applyAlignment="1" applyProtection="1">
      <alignment horizontal="center"/>
      <protection/>
    </xf>
    <xf numFmtId="203" fontId="2" fillId="0" borderId="0" xfId="0" applyNumberFormat="1" applyFont="1" applyFill="1" applyBorder="1" applyAlignment="1" applyProtection="1">
      <alignment horizontal="right" vertical="center" wrapText="1"/>
      <protection/>
    </xf>
    <xf numFmtId="203" fontId="0" fillId="0" borderId="0" xfId="0" applyNumberFormat="1" applyFill="1" applyBorder="1" applyAlignment="1" applyProtection="1">
      <alignment horizontal="right" vertical="center" wrapText="1"/>
      <protection/>
    </xf>
    <xf numFmtId="202" fontId="2" fillId="0" borderId="0" xfId="0" applyNumberFormat="1" applyFont="1" applyFill="1" applyBorder="1" applyAlignment="1" applyProtection="1">
      <alignment horizontal="right" vertical="center" wrapText="1"/>
      <protection/>
    </xf>
    <xf numFmtId="202" fontId="0" fillId="0" borderId="0" xfId="0" applyNumberFormat="1" applyFill="1" applyBorder="1" applyAlignment="1" applyProtection="1">
      <alignment horizontal="right" vertical="center" wrapText="1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41" fontId="2" fillId="0" borderId="17" xfId="0" applyNumberFormat="1" applyFont="1" applyFill="1" applyBorder="1" applyAlignment="1" applyProtection="1">
      <alignment horizontal="center"/>
      <protection/>
    </xf>
    <xf numFmtId="41" fontId="2" fillId="0" borderId="15" xfId="0" applyNumberFormat="1" applyFont="1" applyFill="1" applyBorder="1" applyAlignment="1" applyProtection="1">
      <alignment horizontal="center"/>
      <protection/>
    </xf>
    <xf numFmtId="9" fontId="2" fillId="0" borderId="17" xfId="0" applyNumberFormat="1" applyFont="1" applyFill="1" applyBorder="1" applyAlignment="1" applyProtection="1">
      <alignment horizontal="center"/>
      <protection/>
    </xf>
    <xf numFmtId="9" fontId="2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3" fontId="1" fillId="0" borderId="42" xfId="59" applyNumberFormat="1" applyFont="1" applyFill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/>
    </xf>
    <xf numFmtId="9" fontId="2" fillId="0" borderId="14" xfId="0" applyNumberFormat="1" applyFont="1" applyFill="1" applyBorder="1" applyAlignment="1" applyProtection="1">
      <alignment horizontal="center"/>
      <protection/>
    </xf>
    <xf numFmtId="0" fontId="1" fillId="0" borderId="58" xfId="0" applyFont="1" applyFill="1" applyBorder="1" applyAlignment="1" applyProtection="1">
      <alignment horizontal="center"/>
      <protection/>
    </xf>
    <xf numFmtId="0" fontId="0" fillId="0" borderId="58" xfId="0" applyBorder="1" applyAlignment="1">
      <alignment/>
    </xf>
    <xf numFmtId="173" fontId="2" fillId="0" borderId="10" xfId="59" applyNumberFormat="1" applyFont="1" applyFill="1" applyBorder="1" applyAlignment="1" applyProtection="1">
      <alignment horizontal="center"/>
      <protection/>
    </xf>
    <xf numFmtId="213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right" vertical="center" wrapText="1"/>
    </xf>
    <xf numFmtId="0" fontId="1" fillId="0" borderId="58" xfId="0" applyFont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" fillId="0" borderId="30" xfId="0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73" fontId="1" fillId="0" borderId="31" xfId="59" applyNumberFormat="1" applyFont="1" applyFill="1" applyBorder="1" applyAlignment="1" applyProtection="1">
      <alignment horizontal="center"/>
      <protection/>
    </xf>
    <xf numFmtId="9" fontId="2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/>
      <protection/>
    </xf>
    <xf numFmtId="200" fontId="2" fillId="0" borderId="0" xfId="0" applyNumberFormat="1" applyFont="1" applyFill="1" applyBorder="1" applyAlignment="1" applyProtection="1">
      <alignment horizontal="right" vertical="center" wrapText="1"/>
      <protection/>
    </xf>
    <xf numFmtId="200" fontId="0" fillId="0" borderId="0" xfId="0" applyNumberFormat="1" applyFill="1" applyBorder="1" applyAlignment="1" applyProtection="1">
      <alignment horizontal="right" vertical="center" wrapText="1"/>
      <protection/>
    </xf>
    <xf numFmtId="0" fontId="1" fillId="0" borderId="59" xfId="0" applyFont="1" applyBorder="1" applyAlignment="1" applyProtection="1">
      <alignment horizontal="center" wrapText="1"/>
      <protection/>
    </xf>
    <xf numFmtId="0" fontId="1" fillId="0" borderId="60" xfId="0" applyFont="1" applyBorder="1" applyAlignment="1" applyProtection="1">
      <alignment horizontal="center" wrapText="1"/>
      <protection/>
    </xf>
    <xf numFmtId="0" fontId="1" fillId="0" borderId="35" xfId="0" applyFont="1" applyBorder="1" applyAlignment="1" applyProtection="1">
      <alignment horizontal="center" wrapText="1"/>
      <protection/>
    </xf>
    <xf numFmtId="173" fontId="2" fillId="0" borderId="14" xfId="59" applyNumberFormat="1" applyFont="1" applyFill="1" applyBorder="1" applyAlignment="1" applyProtection="1">
      <alignment horizontal="center"/>
      <protection/>
    </xf>
    <xf numFmtId="201" fontId="2" fillId="0" borderId="0" xfId="0" applyNumberFormat="1" applyFont="1" applyFill="1" applyBorder="1" applyAlignment="1" applyProtection="1">
      <alignment horizontal="right" vertical="center" wrapText="1"/>
      <protection/>
    </xf>
    <xf numFmtId="201" fontId="0" fillId="0" borderId="0" xfId="0" applyNumberFormat="1" applyFill="1" applyBorder="1" applyAlignment="1" applyProtection="1">
      <alignment horizontal="right" vertical="center" wrapText="1"/>
      <protection/>
    </xf>
    <xf numFmtId="0" fontId="1" fillId="0" borderId="36" xfId="0" applyFont="1" applyFill="1" applyBorder="1" applyAlignment="1" applyProtection="1">
      <alignment horizontal="center" vertical="center" shrinkToFit="1"/>
      <protection/>
    </xf>
    <xf numFmtId="173" fontId="1" fillId="0" borderId="28" xfId="59" applyNumberFormat="1" applyFont="1" applyFill="1" applyBorder="1" applyAlignment="1" applyProtection="1">
      <alignment horizontal="center"/>
      <protection/>
    </xf>
    <xf numFmtId="173" fontId="1" fillId="0" borderId="32" xfId="59" applyNumberFormat="1" applyFont="1" applyFill="1" applyBorder="1" applyAlignment="1" applyProtection="1">
      <alignment horizontal="center"/>
      <protection/>
    </xf>
    <xf numFmtId="173" fontId="1" fillId="0" borderId="17" xfId="59" applyNumberFormat="1" applyFont="1" applyFill="1" applyBorder="1" applyAlignment="1" applyProtection="1">
      <alignment horizontal="center"/>
      <protection/>
    </xf>
    <xf numFmtId="173" fontId="1" fillId="0" borderId="21" xfId="59" applyNumberFormat="1" applyFont="1" applyFill="1" applyBorder="1" applyAlignment="1" applyProtection="1">
      <alignment horizontal="center"/>
      <protection/>
    </xf>
    <xf numFmtId="173" fontId="1" fillId="0" borderId="15" xfId="59" applyNumberFormat="1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 wrapText="1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4" xfId="0" applyNumberFormat="1" applyFont="1" applyFill="1" applyBorder="1" applyAlignment="1" applyProtection="1">
      <alignment horizontal="center" vertical="center"/>
      <protection/>
    </xf>
    <xf numFmtId="174" fontId="1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173" fontId="2" fillId="0" borderId="17" xfId="59" applyNumberFormat="1" applyFont="1" applyFill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173" fontId="1" fillId="0" borderId="17" xfId="59" applyNumberFormat="1" applyFont="1" applyFill="1" applyBorder="1" applyAlignment="1" applyProtection="1">
      <alignment horizontal="center" vertical="center"/>
      <protection/>
    </xf>
    <xf numFmtId="173" fontId="1" fillId="0" borderId="15" xfId="59" applyNumberFormat="1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 applyProtection="1">
      <alignment horizontal="center" vertical="center"/>
      <protection/>
    </xf>
    <xf numFmtId="3" fontId="1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173" fontId="2" fillId="25" borderId="17" xfId="59" applyNumberFormat="1" applyFont="1" applyFill="1" applyBorder="1" applyAlignment="1" applyProtection="1">
      <alignment horizontal="left" vertical="center"/>
      <protection/>
    </xf>
    <xf numFmtId="0" fontId="0" fillId="25" borderId="21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173" fontId="1" fillId="0" borderId="17" xfId="59" applyNumberFormat="1" applyFont="1" applyFill="1" applyBorder="1" applyAlignment="1" applyProtection="1">
      <alignment horizontal="center" vertical="center"/>
      <protection/>
    </xf>
    <xf numFmtId="173" fontId="1" fillId="0" borderId="15" xfId="59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3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17" borderId="10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wrapText="1"/>
    </xf>
    <xf numFmtId="0" fontId="2" fillId="17" borderId="5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58" xfId="0" applyFont="1" applyBorder="1" applyAlignment="1" applyProtection="1">
      <alignment horizontal="center" wrapText="1"/>
      <protection/>
    </xf>
    <xf numFmtId="177" fontId="2" fillId="2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20" borderId="14" xfId="0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3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3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72" fontId="2" fillId="2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9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2" fillId="0" borderId="63" xfId="0" applyFont="1" applyFill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12" fillId="0" borderId="20" xfId="0" applyFont="1" applyFill="1" applyBorder="1" applyAlignment="1">
      <alignment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left" vertical="center" wrapText="1"/>
    </xf>
    <xf numFmtId="0" fontId="19" fillId="0" borderId="70" xfId="0" applyFont="1" applyFill="1" applyBorder="1" applyAlignment="1">
      <alignment horizontal="left" vertical="center" wrapText="1"/>
    </xf>
    <xf numFmtId="10" fontId="12" fillId="0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енда-продажа" xfId="53"/>
    <cellStyle name="Обычный_Земля. АЗ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4">
    <dxf>
      <font>
        <color indexed="13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indexed="10"/>
      </font>
      <fill>
        <patternFill>
          <bgColor indexed="10"/>
        </patternFill>
      </fill>
    </dxf>
    <dxf>
      <font>
        <b/>
        <i val="0"/>
        <strike val="0"/>
        <color indexed="11"/>
      </font>
      <fill>
        <patternFill>
          <bgColor indexed="10"/>
        </patternFill>
      </fill>
    </dxf>
    <dxf>
      <font>
        <strike/>
        <color indexed="11"/>
      </font>
      <fill>
        <patternFill>
          <bgColor indexed="10"/>
        </patternFill>
      </fill>
    </dxf>
    <dxf>
      <font>
        <strike/>
        <color indexed="11"/>
      </font>
      <fill>
        <patternFill>
          <bgColor indexed="10"/>
        </patternFill>
      </fill>
    </dxf>
    <dxf>
      <font>
        <u val="none"/>
        <strike val="0"/>
        <color indexed="13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u val="none"/>
        <strike/>
        <color indexed="1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u val="none"/>
        <strike/>
        <color indexed="1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u val="none"/>
        <strike/>
        <color rgb="FF00FF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u val="none"/>
        <strike val="0"/>
        <color rgb="FFFFFF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FF"/>
        </patternFill>
      </fill>
      <border/>
    </dxf>
    <dxf>
      <font>
        <b val="0"/>
        <i/>
      </font>
      <fill>
        <patternFill>
          <bgColor rgb="FFFFFFFF"/>
        </patternFill>
      </fill>
      <border/>
    </dxf>
    <dxf>
      <font>
        <b/>
        <i val="0"/>
        <u val="double"/>
        <strike val="0"/>
      </font>
      <fill>
        <patternFill patternType="none">
          <bgColor indexed="65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lackwood.ru/foto.php?foto=http://blackw.mega.ru/office/5792/b5792_27560_big.jpg&amp;name=&#1047;&#1076;&#1072;&#1085;&#1080;&#1077;" TargetMode="External" /><Relationship Id="rId3" Type="http://schemas.openxmlformats.org/officeDocument/2006/relationships/hyperlink" Target="http://www.blackwood.ru/foto.php?foto=http://blackw.mega.ru/office/5792/b5792_27560_big.jpg&amp;name=&#1047;&#1076;&#1072;&#1085;&#1080;&#1077;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hyperlink" Target="http://www.blackwood.ru/foto.php?foto=http://blackw.mega.ru/office/1645/b1645_24443_big.jpg&amp;name=&#1047;&#1076;&#1072;&#1085;&#1080;&#1077;" TargetMode="External" /><Relationship Id="rId7" Type="http://schemas.openxmlformats.org/officeDocument/2006/relationships/hyperlink" Target="http://www.blackwood.ru/foto.php?foto=http://blackw.mega.ru/office/1645/b1645_24443_big.jpg&amp;name=&#1047;&#1076;&#1072;&#1085;&#1080;&#1077;" TargetMode="External" /><Relationship Id="rId8" Type="http://schemas.openxmlformats.org/officeDocument/2006/relationships/hyperlink" Target="http://www.blackwood.ru/foto.php?foto=http://blackw.mega.ru/office/1645/b1645_24443_big.jpg&amp;name=&#1047;&#1076;&#1072;&#1085;&#1080;&#1077;" TargetMode="External" /><Relationship Id="rId9" Type="http://schemas.openxmlformats.org/officeDocument/2006/relationships/hyperlink" Target="http://www.blackwood.ru/foto.php?foto=http://blackw.mega.ru/office/1645/b1645_24443_big.jpg&amp;name=&#1047;&#1076;&#1072;&#1085;&#1080;&#1077;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1257300</xdr:colOff>
      <xdr:row>0</xdr:row>
      <xdr:rowOff>0</xdr:rowOff>
    </xdr:to>
    <xdr:pic>
      <xdr:nvPicPr>
        <xdr:cNvPr id="1" name="Picture 11" descr="b5792_27560_sm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0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" name="img_medium" descr="3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531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1304925</xdr:colOff>
      <xdr:row>0</xdr:row>
      <xdr:rowOff>0</xdr:rowOff>
    </xdr:to>
    <xdr:pic>
      <xdr:nvPicPr>
        <xdr:cNvPr id="3" name="Picture 15" descr="b1645_24443_sml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5835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" name="Picture 26" descr="b1645_24443_sml">
          <a:hlinkClick r:id="rId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531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ian.ru/Houses/HouseInfo.aspx?ObjID=458976" TargetMode="External" /><Relationship Id="rId2" Type="http://schemas.openxmlformats.org/officeDocument/2006/relationships/hyperlink" Target="http://www.mian.ru/Houses/HouseInfo.aspx?ObjID=259458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vedomosti.ru/newspaper/showpic.shtml?2007/01/30/119772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8"/>
  <sheetViews>
    <sheetView tabSelected="1" zoomScaleSheetLayoutView="100" zoomScalePageLayoutView="0" workbookViewId="0" topLeftCell="A1">
      <selection activeCell="E36" sqref="E36"/>
    </sheetView>
  </sheetViews>
  <sheetFormatPr defaultColWidth="9.140625" defaultRowHeight="12.75"/>
  <cols>
    <col min="1" max="1" width="4.28125" style="29" customWidth="1"/>
    <col min="2" max="2" width="41.57421875" style="29" customWidth="1"/>
    <col min="3" max="3" width="6.7109375" style="29" customWidth="1"/>
    <col min="4" max="4" width="4.7109375" style="29" customWidth="1"/>
    <col min="5" max="5" width="6.00390625" style="29" customWidth="1"/>
    <col min="6" max="6" width="7.140625" style="29" customWidth="1"/>
    <col min="7" max="7" width="7.421875" style="29" bestFit="1" customWidth="1"/>
    <col min="8" max="8" width="8.00390625" style="29" customWidth="1"/>
    <col min="9" max="9" width="14.8515625" style="29" customWidth="1"/>
    <col min="10" max="10" width="16.421875" style="29" customWidth="1"/>
    <col min="11" max="11" width="9.140625" style="29" customWidth="1"/>
    <col min="12" max="13" width="9.140625" style="29" bestFit="1" customWidth="1"/>
    <col min="14" max="16384" width="9.140625" style="29" customWidth="1"/>
  </cols>
  <sheetData>
    <row r="1" spans="1:10" ht="13.5" thickBot="1">
      <c r="A1" s="305"/>
      <c r="B1" s="617" t="s">
        <v>81</v>
      </c>
      <c r="C1" s="617"/>
      <c r="D1" s="617"/>
      <c r="E1" s="617"/>
      <c r="F1" s="617"/>
      <c r="G1" s="617"/>
      <c r="H1" s="617"/>
      <c r="I1" s="613"/>
      <c r="J1" s="330" t="s">
        <v>116</v>
      </c>
    </row>
    <row r="2" spans="1:11" ht="25.5">
      <c r="A2" s="424" t="s">
        <v>13</v>
      </c>
      <c r="B2" s="425" t="s">
        <v>31</v>
      </c>
      <c r="C2" s="634" t="s">
        <v>102</v>
      </c>
      <c r="D2" s="634"/>
      <c r="E2" s="634" t="s">
        <v>10</v>
      </c>
      <c r="F2" s="634"/>
      <c r="G2" s="612" t="s">
        <v>35</v>
      </c>
      <c r="H2" s="605"/>
      <c r="I2" s="605"/>
      <c r="J2" s="606"/>
      <c r="K2" s="211"/>
    </row>
    <row r="3" spans="1:11" ht="12.75">
      <c r="A3" s="597">
        <v>1</v>
      </c>
      <c r="B3" s="431" t="s">
        <v>383</v>
      </c>
      <c r="C3" s="635"/>
      <c r="D3" s="635"/>
      <c r="E3" s="618">
        <v>39327</v>
      </c>
      <c r="F3" s="618"/>
      <c r="G3" s="631" t="s">
        <v>384</v>
      </c>
      <c r="H3" s="632"/>
      <c r="I3" s="632"/>
      <c r="J3" s="633"/>
      <c r="K3" s="211"/>
    </row>
    <row r="4" spans="1:11" ht="12.75">
      <c r="A4" s="619" t="s">
        <v>381</v>
      </c>
      <c r="B4" s="620"/>
      <c r="C4" s="620"/>
      <c r="D4" s="620"/>
      <c r="E4" s="620"/>
      <c r="F4" s="620"/>
      <c r="G4" s="620"/>
      <c r="H4" s="620"/>
      <c r="I4" s="620"/>
      <c r="J4" s="621"/>
      <c r="K4" s="211"/>
    </row>
    <row r="5" spans="1:11" ht="27.75" customHeight="1">
      <c r="A5" s="308">
        <f>A3+1</f>
        <v>2</v>
      </c>
      <c r="B5" s="432" t="s">
        <v>32</v>
      </c>
      <c r="C5" s="625" t="s">
        <v>63</v>
      </c>
      <c r="D5" s="625"/>
      <c r="E5" s="636">
        <v>2</v>
      </c>
      <c r="F5" s="637"/>
      <c r="G5" s="607" t="s">
        <v>100</v>
      </c>
      <c r="H5" s="608"/>
      <c r="I5" s="608"/>
      <c r="J5" s="609"/>
      <c r="K5" s="211"/>
    </row>
    <row r="6" spans="1:11" ht="39.75" customHeight="1">
      <c r="A6" s="308">
        <f>A5+1</f>
        <v>3</v>
      </c>
      <c r="B6" s="432" t="s">
        <v>96</v>
      </c>
      <c r="C6" s="625" t="s">
        <v>67</v>
      </c>
      <c r="D6" s="625"/>
      <c r="E6" s="638">
        <v>150</v>
      </c>
      <c r="F6" s="639"/>
      <c r="G6" s="607" t="s">
        <v>401</v>
      </c>
      <c r="H6" s="608"/>
      <c r="I6" s="608"/>
      <c r="J6" s="609"/>
      <c r="K6" s="211"/>
    </row>
    <row r="7" spans="1:11" ht="25.5">
      <c r="A7" s="308">
        <f>A6+1</f>
        <v>4</v>
      </c>
      <c r="B7" s="434" t="s">
        <v>115</v>
      </c>
      <c r="C7" s="625" t="s">
        <v>84</v>
      </c>
      <c r="D7" s="625"/>
      <c r="E7" s="626">
        <v>550</v>
      </c>
      <c r="F7" s="627"/>
      <c r="G7" s="651" t="s">
        <v>402</v>
      </c>
      <c r="H7" s="652"/>
      <c r="I7" s="652"/>
      <c r="J7" s="653"/>
      <c r="K7" s="211"/>
    </row>
    <row r="8" spans="1:11" ht="12.75" customHeight="1">
      <c r="A8" s="619" t="s">
        <v>382</v>
      </c>
      <c r="B8" s="620"/>
      <c r="C8" s="620"/>
      <c r="D8" s="620"/>
      <c r="E8" s="620"/>
      <c r="F8" s="620"/>
      <c r="G8" s="620"/>
      <c r="H8" s="620"/>
      <c r="I8" s="620"/>
      <c r="J8" s="621"/>
      <c r="K8" s="211"/>
    </row>
    <row r="9" spans="1:11" ht="12.75">
      <c r="A9" s="308">
        <f>A7+1</f>
        <v>5</v>
      </c>
      <c r="B9" s="432" t="s">
        <v>357</v>
      </c>
      <c r="C9" s="625" t="s">
        <v>67</v>
      </c>
      <c r="D9" s="625"/>
      <c r="E9" s="600">
        <v>100000</v>
      </c>
      <c r="F9" s="600"/>
      <c r="G9" s="599" t="s">
        <v>406</v>
      </c>
      <c r="H9" s="640"/>
      <c r="I9" s="640"/>
      <c r="J9" s="641"/>
      <c r="K9" s="211"/>
    </row>
    <row r="10" spans="1:11" ht="12.75">
      <c r="A10" s="435" t="s">
        <v>204</v>
      </c>
      <c r="B10" s="432" t="s">
        <v>97</v>
      </c>
      <c r="C10" s="625" t="s">
        <v>67</v>
      </c>
      <c r="D10" s="625"/>
      <c r="E10" s="600">
        <v>80000</v>
      </c>
      <c r="F10" s="600"/>
      <c r="G10" s="642"/>
      <c r="H10" s="643"/>
      <c r="I10" s="643"/>
      <c r="J10" s="644"/>
      <c r="K10" s="211"/>
    </row>
    <row r="11" spans="1:11" ht="12.75">
      <c r="A11" s="435" t="s">
        <v>205</v>
      </c>
      <c r="B11" s="432" t="s">
        <v>98</v>
      </c>
      <c r="C11" s="625" t="s">
        <v>67</v>
      </c>
      <c r="D11" s="625"/>
      <c r="E11" s="600">
        <v>45000</v>
      </c>
      <c r="F11" s="600"/>
      <c r="G11" s="642"/>
      <c r="H11" s="643"/>
      <c r="I11" s="643"/>
      <c r="J11" s="644"/>
      <c r="K11" s="211"/>
    </row>
    <row r="12" spans="1:11" ht="12.75">
      <c r="A12" s="435" t="s">
        <v>206</v>
      </c>
      <c r="B12" s="432" t="s">
        <v>99</v>
      </c>
      <c r="C12" s="625" t="s">
        <v>67</v>
      </c>
      <c r="D12" s="625"/>
      <c r="E12" s="600">
        <v>20000</v>
      </c>
      <c r="F12" s="600"/>
      <c r="G12" s="642"/>
      <c r="H12" s="643"/>
      <c r="I12" s="643"/>
      <c r="J12" s="644"/>
      <c r="K12" s="211"/>
    </row>
    <row r="13" spans="1:12" ht="12.75">
      <c r="A13" s="435" t="s">
        <v>209</v>
      </c>
      <c r="B13" s="432" t="s">
        <v>82</v>
      </c>
      <c r="C13" s="625" t="s">
        <v>67</v>
      </c>
      <c r="D13" s="625"/>
      <c r="E13" s="600">
        <v>20000</v>
      </c>
      <c r="F13" s="600"/>
      <c r="G13" s="642"/>
      <c r="H13" s="643"/>
      <c r="I13" s="643"/>
      <c r="J13" s="644"/>
      <c r="K13" s="211"/>
      <c r="L13" s="220"/>
    </row>
    <row r="14" spans="1:11" ht="12.75">
      <c r="A14" s="436">
        <f>A9+1</f>
        <v>6</v>
      </c>
      <c r="B14" s="432" t="s">
        <v>438</v>
      </c>
      <c r="C14" s="625" t="s">
        <v>46</v>
      </c>
      <c r="D14" s="625"/>
      <c r="E14" s="600">
        <v>571</v>
      </c>
      <c r="F14" s="600"/>
      <c r="G14" s="642"/>
      <c r="H14" s="643"/>
      <c r="I14" s="643"/>
      <c r="J14" s="644"/>
      <c r="K14" s="211"/>
    </row>
    <row r="15" spans="1:11" ht="12.75">
      <c r="A15" s="436">
        <f>A14+1</f>
        <v>7</v>
      </c>
      <c r="B15" s="434" t="s">
        <v>359</v>
      </c>
      <c r="C15" s="625" t="s">
        <v>67</v>
      </c>
      <c r="D15" s="625"/>
      <c r="E15" s="600">
        <v>22</v>
      </c>
      <c r="F15" s="600"/>
      <c r="G15" s="642"/>
      <c r="H15" s="643"/>
      <c r="I15" s="643"/>
      <c r="J15" s="644"/>
      <c r="K15" s="211"/>
    </row>
    <row r="16" spans="1:11" ht="12.75">
      <c r="A16" s="436">
        <f>A15+1</f>
        <v>8</v>
      </c>
      <c r="B16" s="432" t="s">
        <v>83</v>
      </c>
      <c r="C16" s="625" t="s">
        <v>84</v>
      </c>
      <c r="D16" s="625"/>
      <c r="E16" s="600">
        <v>90000</v>
      </c>
      <c r="F16" s="600"/>
      <c r="G16" s="642"/>
      <c r="H16" s="643"/>
      <c r="I16" s="643"/>
      <c r="J16" s="644"/>
      <c r="K16" s="211"/>
    </row>
    <row r="17" spans="1:11" ht="12.75">
      <c r="A17" s="436">
        <f>A16+1</f>
        <v>9</v>
      </c>
      <c r="B17" s="437" t="s">
        <v>281</v>
      </c>
      <c r="C17" s="616" t="s">
        <v>178</v>
      </c>
      <c r="D17" s="616"/>
      <c r="E17" s="611">
        <v>4</v>
      </c>
      <c r="F17" s="611"/>
      <c r="G17" s="642"/>
      <c r="H17" s="643"/>
      <c r="I17" s="643"/>
      <c r="J17" s="644"/>
      <c r="K17" s="211"/>
    </row>
    <row r="18" spans="1:11" ht="12.75">
      <c r="A18" s="438">
        <f>A17+1</f>
        <v>10</v>
      </c>
      <c r="B18" s="310" t="s">
        <v>444</v>
      </c>
      <c r="C18" s="614" t="s">
        <v>335</v>
      </c>
      <c r="D18" s="614"/>
      <c r="E18" s="615">
        <v>1.2</v>
      </c>
      <c r="F18" s="615"/>
      <c r="G18" s="645"/>
      <c r="H18" s="646"/>
      <c r="I18" s="646"/>
      <c r="J18" s="647"/>
      <c r="K18" s="211"/>
    </row>
    <row r="19" spans="1:11" ht="12.75">
      <c r="A19" s="619" t="s">
        <v>68</v>
      </c>
      <c r="B19" s="620"/>
      <c r="C19" s="620"/>
      <c r="D19" s="620"/>
      <c r="E19" s="620"/>
      <c r="F19" s="620"/>
      <c r="G19" s="620"/>
      <c r="H19" s="620"/>
      <c r="I19" s="620"/>
      <c r="J19" s="621"/>
      <c r="K19" s="211"/>
    </row>
    <row r="20" spans="1:11" ht="26.25" customHeight="1">
      <c r="A20" s="436">
        <f>A18+1</f>
        <v>11</v>
      </c>
      <c r="B20" s="439" t="s">
        <v>404</v>
      </c>
      <c r="C20" s="625" t="s">
        <v>146</v>
      </c>
      <c r="D20" s="625"/>
      <c r="E20" s="650">
        <v>710543000</v>
      </c>
      <c r="F20" s="650"/>
      <c r="G20" s="628" t="s">
        <v>403</v>
      </c>
      <c r="H20" s="629"/>
      <c r="I20" s="629"/>
      <c r="J20" s="630"/>
      <c r="K20" s="211"/>
    </row>
    <row r="21" spans="1:11" ht="12.75">
      <c r="A21" s="436">
        <f>A20+1</f>
        <v>12</v>
      </c>
      <c r="B21" s="439" t="s">
        <v>30</v>
      </c>
      <c r="C21" s="625" t="s">
        <v>398</v>
      </c>
      <c r="D21" s="625"/>
      <c r="E21" s="648">
        <v>0.19</v>
      </c>
      <c r="F21" s="648"/>
      <c r="G21" s="607" t="s">
        <v>407</v>
      </c>
      <c r="H21" s="608"/>
      <c r="I21" s="608"/>
      <c r="J21" s="609"/>
      <c r="K21" s="211"/>
    </row>
    <row r="22" spans="1:11" ht="12.75">
      <c r="A22" s="436">
        <f>A21+1</f>
        <v>13</v>
      </c>
      <c r="B22" s="432" t="s">
        <v>34</v>
      </c>
      <c r="C22" s="625" t="s">
        <v>358</v>
      </c>
      <c r="D22" s="625"/>
      <c r="E22" s="654">
        <v>0.03</v>
      </c>
      <c r="F22" s="654"/>
      <c r="G22" s="622" t="s">
        <v>410</v>
      </c>
      <c r="H22" s="623"/>
      <c r="I22" s="623"/>
      <c r="J22" s="624"/>
      <c r="K22" s="211"/>
    </row>
    <row r="23" spans="1:11" ht="12.75">
      <c r="A23" s="436">
        <f>A22+1</f>
        <v>14</v>
      </c>
      <c r="B23" s="432" t="s">
        <v>58</v>
      </c>
      <c r="C23" s="625" t="s">
        <v>79</v>
      </c>
      <c r="D23" s="625"/>
      <c r="E23" s="649">
        <v>25.5455</v>
      </c>
      <c r="F23" s="649"/>
      <c r="G23" s="601" t="s">
        <v>360</v>
      </c>
      <c r="H23" s="602"/>
      <c r="I23" s="602"/>
      <c r="J23" s="598"/>
      <c r="K23" s="211"/>
    </row>
    <row r="24" spans="1:12" ht="25.5">
      <c r="A24" s="436">
        <f>A23+1</f>
        <v>15</v>
      </c>
      <c r="B24" s="434" t="s">
        <v>409</v>
      </c>
      <c r="C24" s="625" t="s">
        <v>80</v>
      </c>
      <c r="D24" s="625"/>
      <c r="E24" s="600">
        <v>15</v>
      </c>
      <c r="F24" s="600"/>
      <c r="G24" s="622" t="s">
        <v>410</v>
      </c>
      <c r="H24" s="623"/>
      <c r="I24" s="623"/>
      <c r="J24" s="624"/>
      <c r="K24" s="211"/>
      <c r="L24" s="220"/>
    </row>
    <row r="25" spans="1:11" ht="12.75">
      <c r="A25" s="436">
        <f>A24+1</f>
        <v>16</v>
      </c>
      <c r="B25" s="434" t="s">
        <v>397</v>
      </c>
      <c r="C25" s="625" t="s">
        <v>408</v>
      </c>
      <c r="D25" s="625"/>
      <c r="E25" s="600">
        <v>300000</v>
      </c>
      <c r="F25" s="600"/>
      <c r="G25" s="655" t="s">
        <v>399</v>
      </c>
      <c r="H25" s="652"/>
      <c r="I25" s="652"/>
      <c r="J25" s="653"/>
      <c r="K25" s="211"/>
    </row>
    <row r="26" spans="1:10" ht="13.5" thickBot="1">
      <c r="A26" s="305"/>
      <c r="B26" s="312"/>
      <c r="C26" s="312"/>
      <c r="D26" s="312"/>
      <c r="E26" s="441"/>
      <c r="F26" s="312"/>
      <c r="G26" s="312"/>
      <c r="H26" s="305"/>
      <c r="I26" s="305"/>
      <c r="J26" s="305"/>
    </row>
    <row r="27" spans="1:10" ht="13.5" thickBot="1">
      <c r="A27" s="610" t="s">
        <v>442</v>
      </c>
      <c r="B27" s="603"/>
      <c r="C27" s="603"/>
      <c r="D27" s="603"/>
      <c r="E27" s="603"/>
      <c r="F27" s="603"/>
      <c r="G27" s="603"/>
      <c r="H27" s="603"/>
      <c r="I27" s="603"/>
      <c r="J27" s="604"/>
    </row>
    <row r="28" spans="1:10" ht="13.5" thickBot="1">
      <c r="A28" s="610" t="s">
        <v>422</v>
      </c>
      <c r="B28" s="603"/>
      <c r="C28" s="603"/>
      <c r="D28" s="603"/>
      <c r="E28" s="603"/>
      <c r="F28" s="603"/>
      <c r="G28" s="603"/>
      <c r="H28" s="603"/>
      <c r="I28" s="603"/>
      <c r="J28" s="604"/>
    </row>
  </sheetData>
  <sheetProtection password="D076" sheet="1" objects="1" scenarios="1"/>
  <mergeCells count="60">
    <mergeCell ref="A27:J27"/>
    <mergeCell ref="C7:D7"/>
    <mergeCell ref="E12:F12"/>
    <mergeCell ref="C10:D10"/>
    <mergeCell ref="G7:J7"/>
    <mergeCell ref="C12:D12"/>
    <mergeCell ref="C14:D14"/>
    <mergeCell ref="E25:F25"/>
    <mergeCell ref="E22:F22"/>
    <mergeCell ref="G25:J25"/>
    <mergeCell ref="E21:F21"/>
    <mergeCell ref="E23:F23"/>
    <mergeCell ref="E24:F24"/>
    <mergeCell ref="E20:F20"/>
    <mergeCell ref="C15:D15"/>
    <mergeCell ref="E15:F15"/>
    <mergeCell ref="C13:D13"/>
    <mergeCell ref="G9:J18"/>
    <mergeCell ref="C16:D16"/>
    <mergeCell ref="E9:F9"/>
    <mergeCell ref="E10:F10"/>
    <mergeCell ref="E11:F11"/>
    <mergeCell ref="C11:D11"/>
    <mergeCell ref="A28:J28"/>
    <mergeCell ref="E13:F13"/>
    <mergeCell ref="E14:F14"/>
    <mergeCell ref="E16:F16"/>
    <mergeCell ref="G21:J21"/>
    <mergeCell ref="C20:D20"/>
    <mergeCell ref="C21:D21"/>
    <mergeCell ref="C25:D25"/>
    <mergeCell ref="G23:J23"/>
    <mergeCell ref="A19:J19"/>
    <mergeCell ref="C9:D9"/>
    <mergeCell ref="B1:I1"/>
    <mergeCell ref="C18:D18"/>
    <mergeCell ref="E18:F18"/>
    <mergeCell ref="C17:D17"/>
    <mergeCell ref="E17:F17"/>
    <mergeCell ref="C2:D2"/>
    <mergeCell ref="G2:J2"/>
    <mergeCell ref="G5:J5"/>
    <mergeCell ref="G6:J6"/>
    <mergeCell ref="G3:J3"/>
    <mergeCell ref="E2:F2"/>
    <mergeCell ref="C3:D3"/>
    <mergeCell ref="C6:D6"/>
    <mergeCell ref="E5:F5"/>
    <mergeCell ref="E6:F6"/>
    <mergeCell ref="E3:F3"/>
    <mergeCell ref="A8:J8"/>
    <mergeCell ref="A4:J4"/>
    <mergeCell ref="G24:J24"/>
    <mergeCell ref="C22:D22"/>
    <mergeCell ref="C23:D23"/>
    <mergeCell ref="C24:D24"/>
    <mergeCell ref="G22:J22"/>
    <mergeCell ref="C5:D5"/>
    <mergeCell ref="E7:F7"/>
    <mergeCell ref="G20:J20"/>
  </mergeCells>
  <conditionalFormatting sqref="E22:F22">
    <cfRule type="cellIs" priority="1" dxfId="27" operator="lessThan" stopIfTrue="1">
      <formula>-0.03</formula>
    </cfRule>
  </conditionalFormatting>
  <conditionalFormatting sqref="E21:F21">
    <cfRule type="cellIs" priority="3" dxfId="28" operator="between" stopIfTrue="1">
      <formula>0.2001</formula>
      <formula>0.25</formula>
    </cfRule>
  </conditionalFormatting>
  <conditionalFormatting sqref="E9:F9">
    <cfRule type="cellIs" priority="3" dxfId="0" operator="notEqual" stopIfTrue="1">
      <formula>$E$10+$E$13</formula>
    </cfRule>
  </conditionalFormatting>
  <dataValidations count="9">
    <dataValidation type="decimal" operator="greaterThan" allowBlank="1" showInputMessage="1" showErrorMessage="1" sqref="E23:F23 E5:F6">
      <formula1>0</formula1>
    </dataValidation>
    <dataValidation type="whole" operator="greaterThan" allowBlank="1" showInputMessage="1" showErrorMessage="1" sqref="E10:F10 E13:F13">
      <formula1>0</formula1>
    </dataValidation>
    <dataValidation type="decimal" allowBlank="1" showInputMessage="1" showErrorMessage="1" prompt="Величина ставки дисконтирования не должна превышать 20 % в год" error="Величина ставки дисконтирования не должна превышать 20 % в год" sqref="E21:F21">
      <formula1>0</formula1>
      <formula2>0.2</formula2>
    </dataValidation>
    <dataValidation type="decimal" allowBlank="1" showInputMessage="1" showErrorMessage="1" prompt="Величина затрат на риэлторские услуги не должна превышать 3 % от дохода от реализации проекта" error="Величина не должна превышать 3 %" sqref="E22:F22">
      <formula1>0</formula1>
      <formula2>0.03</formula2>
    </dataValidation>
    <dataValidation type="decimal" allowBlank="1" showInputMessage="1" showErrorMessage="1" prompt="Величина затрат на снос существующих зданий, строений и вывоз строительного мусора не должна превышать 15 долл. за куб. метр здания" error="Величина не должна превышать 15 долл. за куб. м" sqref="E24:F24">
      <formula1>0</formula1>
      <formula2>15</formula2>
    </dataValidation>
    <dataValidation type="decimal" operator="greaterThanOrEqual" allowBlank="1" showInputMessage="1" showErrorMessage="1" error="Величина затрат на подключение к инженерным сетям не должна превышать 12 %" sqref="E20:F20">
      <formula1>0</formula1>
    </dataValidation>
    <dataValidation type="decimal" operator="greaterThan" allowBlank="1" showInputMessage="1" showErrorMessage="1" prompt="В случае отсутсвия в документах технического учета информации об объемах зданий, приводится  расчетное обоснование величины строительного объема" sqref="E7:F7">
      <formula1>0</formula1>
    </dataValidation>
    <dataValidation allowBlank="1" showInputMessage="1" showErrorMessage="1" prompt="Вводится через запятую" sqref="E18:F18"/>
    <dataValidation type="decimal" operator="greaterThan" allowBlank="1" showInputMessage="1" showErrorMessage="1" error="Введите страницу отчета" sqref="G24:J24 G22:J22">
      <formula1>0</formula1>
    </dataValidation>
  </dataValidations>
  <printOptions/>
  <pageMargins left="0.75" right="0.75" top="1" bottom="1" header="0.5" footer="0.5"/>
  <pageSetup horizontalDpi="300" verticalDpi="3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33"/>
  <sheetViews>
    <sheetView zoomScalePageLayoutView="0" workbookViewId="0" topLeftCell="A1">
      <selection activeCell="G20" sqref="G20"/>
    </sheetView>
  </sheetViews>
  <sheetFormatPr defaultColWidth="9.140625" defaultRowHeight="12.75"/>
  <cols>
    <col min="2" max="2" width="13.421875" style="0" bestFit="1" customWidth="1"/>
    <col min="4" max="4" width="15.57421875" style="0" bestFit="1" customWidth="1"/>
  </cols>
  <sheetData>
    <row r="1" ht="12.75">
      <c r="B1" s="350" t="s">
        <v>309</v>
      </c>
    </row>
    <row r="2" ht="12.75">
      <c r="B2" s="350" t="s">
        <v>310</v>
      </c>
    </row>
    <row r="3" ht="12.75">
      <c r="B3" s="350" t="s">
        <v>312</v>
      </c>
    </row>
    <row r="4" ht="12.75">
      <c r="B4" s="350" t="s">
        <v>315</v>
      </c>
    </row>
    <row r="5" ht="12.75">
      <c r="B5" s="246" t="s">
        <v>316</v>
      </c>
    </row>
    <row r="6" ht="12.75">
      <c r="B6" s="246" t="s">
        <v>317</v>
      </c>
    </row>
    <row r="7" ht="12.75">
      <c r="B7" s="350" t="s">
        <v>318</v>
      </c>
    </row>
    <row r="8" ht="12.75">
      <c r="B8" s="350" t="s">
        <v>319</v>
      </c>
    </row>
    <row r="9" ht="12.75">
      <c r="B9" s="350" t="s">
        <v>320</v>
      </c>
    </row>
    <row r="10" ht="12.75">
      <c r="B10" s="350" t="s">
        <v>321</v>
      </c>
    </row>
    <row r="11" spans="2:6" ht="12.75">
      <c r="B11" s="356" t="s">
        <v>322</v>
      </c>
      <c r="F11" t="s">
        <v>435</v>
      </c>
    </row>
    <row r="12" spans="2:6" ht="12.75">
      <c r="B12" s="356" t="s">
        <v>323</v>
      </c>
      <c r="D12" s="516"/>
      <c r="F12" t="s">
        <v>344</v>
      </c>
    </row>
    <row r="13" spans="2:6" ht="12.75">
      <c r="B13" s="356" t="s">
        <v>311</v>
      </c>
      <c r="D13" t="s">
        <v>351</v>
      </c>
      <c r="F13" t="s">
        <v>434</v>
      </c>
    </row>
    <row r="14" spans="2:4" ht="12.75">
      <c r="B14" s="350" t="s">
        <v>313</v>
      </c>
      <c r="D14" t="s">
        <v>413</v>
      </c>
    </row>
    <row r="15" ht="12.75">
      <c r="B15" s="350" t="s">
        <v>314</v>
      </c>
    </row>
    <row r="16" ht="12.75">
      <c r="B16" s="350" t="s">
        <v>324</v>
      </c>
    </row>
    <row r="17" ht="12.75">
      <c r="B17" s="246" t="s">
        <v>325</v>
      </c>
    </row>
    <row r="18" ht="12.75">
      <c r="B18" s="246" t="s">
        <v>326</v>
      </c>
    </row>
    <row r="19" ht="12.75">
      <c r="B19" s="350" t="s">
        <v>327</v>
      </c>
    </row>
    <row r="20" ht="12.75">
      <c r="B20" s="350" t="s">
        <v>328</v>
      </c>
    </row>
    <row r="21" ht="12.75">
      <c r="B21" s="350" t="s">
        <v>331</v>
      </c>
    </row>
    <row r="22" ht="12.75">
      <c r="B22" s="350" t="s">
        <v>329</v>
      </c>
    </row>
    <row r="23" ht="12.75">
      <c r="B23" s="356" t="s">
        <v>332</v>
      </c>
    </row>
    <row r="24" ht="12.75">
      <c r="B24" s="356" t="s">
        <v>333</v>
      </c>
    </row>
    <row r="25" ht="12.75">
      <c r="B25" s="356" t="s">
        <v>334</v>
      </c>
    </row>
    <row r="26" ht="12.75">
      <c r="B26" s="356" t="s">
        <v>426</v>
      </c>
    </row>
    <row r="31" spans="4:6" ht="12.75">
      <c r="D31">
        <v>0</v>
      </c>
      <c r="E31">
        <f>1/8</f>
        <v>0.125</v>
      </c>
      <c r="F31">
        <f>2/8</f>
        <v>0.25</v>
      </c>
    </row>
    <row r="32" spans="4:11" ht="12.75">
      <c r="D32" s="515">
        <v>1</v>
      </c>
      <c r="E32" s="515">
        <v>2</v>
      </c>
      <c r="F32" s="515">
        <v>3</v>
      </c>
      <c r="G32" s="515">
        <v>4</v>
      </c>
      <c r="H32" s="515">
        <v>5</v>
      </c>
      <c r="I32" s="515">
        <v>6</v>
      </c>
      <c r="J32" s="515">
        <v>7</v>
      </c>
      <c r="K32" s="515">
        <v>8</v>
      </c>
    </row>
    <row r="33" spans="4:11" ht="12.75">
      <c r="D33" s="517">
        <f>'Динамические данные'!G30</f>
        <v>0.77</v>
      </c>
      <c r="E33" s="517">
        <f>'Динамические данные'!H30</f>
        <v>0.81</v>
      </c>
      <c r="F33" s="517">
        <f>'Динамические данные'!I30</f>
        <v>0.84</v>
      </c>
      <c r="G33" s="517">
        <f>'Динамические данные'!J30</f>
        <v>0.85</v>
      </c>
      <c r="H33" s="517">
        <f>'Динамические данные'!K30</f>
        <v>0.85</v>
      </c>
      <c r="I33" s="517">
        <f>'Динамические данные'!L30</f>
        <v>0.86</v>
      </c>
      <c r="J33" s="517">
        <f>'Динамические данные'!M30</f>
        <v>0.87</v>
      </c>
      <c r="K33" s="517">
        <f>'Динамические данные'!N30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zoomScaleSheetLayoutView="100" zoomScalePageLayoutView="0" workbookViewId="0" topLeftCell="A1">
      <selection activeCell="G34" sqref="G34"/>
    </sheetView>
  </sheetViews>
  <sheetFormatPr defaultColWidth="9.140625" defaultRowHeight="12.75"/>
  <cols>
    <col min="1" max="1" width="3.7109375" style="306" customWidth="1"/>
    <col min="2" max="2" width="21.8515625" style="306" customWidth="1"/>
    <col min="3" max="8" width="7.421875" style="306" bestFit="1" customWidth="1"/>
    <col min="9" max="9" width="7.00390625" style="306" customWidth="1"/>
    <col min="10" max="10" width="6.8515625" style="306" customWidth="1"/>
    <col min="11" max="12" width="6.57421875" style="306" bestFit="1" customWidth="1"/>
    <col min="13" max="13" width="6.7109375" style="306" bestFit="1" customWidth="1"/>
    <col min="14" max="14" width="6.57421875" style="306" bestFit="1" customWidth="1"/>
    <col min="15" max="15" width="21.140625" style="306" bestFit="1" customWidth="1"/>
    <col min="16" max="16384" width="9.140625" style="306" customWidth="1"/>
  </cols>
  <sheetData>
    <row r="2" spans="1:14" ht="12.75" customHeight="1" thickBot="1">
      <c r="A2" s="669" t="s">
        <v>95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271" t="s">
        <v>117</v>
      </c>
      <c r="N2" s="305"/>
    </row>
    <row r="3" spans="1:13" ht="12.75" customHeight="1">
      <c r="A3" s="674" t="s">
        <v>13</v>
      </c>
      <c r="B3" s="671" t="s">
        <v>31</v>
      </c>
      <c r="C3" s="671" t="s">
        <v>61</v>
      </c>
      <c r="D3" s="672"/>
      <c r="E3" s="672"/>
      <c r="F3" s="672"/>
      <c r="G3" s="672"/>
      <c r="H3" s="672"/>
      <c r="I3" s="634" t="s">
        <v>35</v>
      </c>
      <c r="J3" s="676"/>
      <c r="K3" s="676"/>
      <c r="L3" s="676"/>
      <c r="M3" s="677"/>
    </row>
    <row r="4" spans="1:13" ht="12.75">
      <c r="A4" s="675"/>
      <c r="B4" s="673"/>
      <c r="C4" s="673" t="s">
        <v>25</v>
      </c>
      <c r="D4" s="673"/>
      <c r="E4" s="673" t="s">
        <v>26</v>
      </c>
      <c r="F4" s="673"/>
      <c r="G4" s="673" t="s">
        <v>57</v>
      </c>
      <c r="H4" s="673" t="s">
        <v>57</v>
      </c>
      <c r="I4" s="678"/>
      <c r="J4" s="678"/>
      <c r="K4" s="678"/>
      <c r="L4" s="678"/>
      <c r="M4" s="679"/>
    </row>
    <row r="5" spans="1:13" ht="12.75">
      <c r="A5" s="308">
        <v>1</v>
      </c>
      <c r="B5" s="250" t="s">
        <v>400</v>
      </c>
      <c r="C5" s="662">
        <f>55.48/47.937-1</f>
        <v>0.15735235830360672</v>
      </c>
      <c r="D5" s="662"/>
      <c r="E5" s="662">
        <f>63.656/55.44-1</f>
        <v>0.14819624819624821</v>
      </c>
      <c r="F5" s="662"/>
      <c r="G5" s="662">
        <f>72.586/63.656-1</f>
        <v>0.14028528339826574</v>
      </c>
      <c r="H5" s="662"/>
      <c r="I5" s="659" t="s">
        <v>379</v>
      </c>
      <c r="J5" s="660"/>
      <c r="K5" s="660"/>
      <c r="L5" s="660"/>
      <c r="M5" s="661"/>
    </row>
    <row r="6" spans="1:13" ht="12.75">
      <c r="A6" s="309">
        <v>2</v>
      </c>
      <c r="B6" s="250" t="s">
        <v>363</v>
      </c>
      <c r="C6" s="663">
        <v>0.16</v>
      </c>
      <c r="D6" s="663"/>
      <c r="E6" s="663">
        <v>0.15</v>
      </c>
      <c r="F6" s="663"/>
      <c r="G6" s="663">
        <v>0.14</v>
      </c>
      <c r="H6" s="663"/>
      <c r="I6" s="680" t="s">
        <v>365</v>
      </c>
      <c r="J6" s="681"/>
      <c r="K6" s="681"/>
      <c r="L6" s="681"/>
      <c r="M6" s="682"/>
    </row>
    <row r="7" spans="1:13" ht="24" customHeight="1">
      <c r="A7" s="309">
        <v>3</v>
      </c>
      <c r="B7" s="256" t="s">
        <v>362</v>
      </c>
      <c r="C7" s="663">
        <v>0.09</v>
      </c>
      <c r="D7" s="663"/>
      <c r="E7" s="663">
        <v>0.08</v>
      </c>
      <c r="F7" s="663"/>
      <c r="G7" s="663">
        <v>0.07</v>
      </c>
      <c r="H7" s="663"/>
      <c r="I7" s="680" t="s">
        <v>365</v>
      </c>
      <c r="J7" s="681"/>
      <c r="K7" s="681"/>
      <c r="L7" s="681"/>
      <c r="M7" s="682"/>
    </row>
    <row r="8" spans="1:13" ht="12.75" customHeight="1" thickBot="1">
      <c r="A8" s="311">
        <v>4</v>
      </c>
      <c r="B8" s="538" t="s">
        <v>361</v>
      </c>
      <c r="C8" s="693">
        <v>0.09</v>
      </c>
      <c r="D8" s="693"/>
      <c r="E8" s="693">
        <v>0.08</v>
      </c>
      <c r="F8" s="693"/>
      <c r="G8" s="693">
        <v>0.07</v>
      </c>
      <c r="H8" s="693"/>
      <c r="I8" s="664" t="s">
        <v>365</v>
      </c>
      <c r="J8" s="665"/>
      <c r="K8" s="665"/>
      <c r="L8" s="665"/>
      <c r="M8" s="666"/>
    </row>
    <row r="9" spans="1:14" ht="12.75">
      <c r="A9" s="312"/>
      <c r="B9" s="312"/>
      <c r="C9" s="313"/>
      <c r="D9" s="313"/>
      <c r="E9" s="313"/>
      <c r="F9" s="313"/>
      <c r="G9" s="313"/>
      <c r="H9" s="313"/>
      <c r="I9" s="314"/>
      <c r="J9" s="314"/>
      <c r="K9" s="305"/>
      <c r="L9" s="305"/>
      <c r="M9" s="305"/>
      <c r="N9" s="305"/>
    </row>
    <row r="10" spans="1:14" ht="13.5" customHeight="1" thickBot="1">
      <c r="A10" s="669" t="s">
        <v>385</v>
      </c>
      <c r="B10" s="670"/>
      <c r="C10" s="670"/>
      <c r="D10" s="670"/>
      <c r="E10" s="670"/>
      <c r="F10" s="670"/>
      <c r="G10" s="670"/>
      <c r="H10" s="670"/>
      <c r="I10" s="670"/>
      <c r="J10" s="670"/>
      <c r="K10" s="670"/>
      <c r="L10" s="670"/>
      <c r="M10" s="271" t="s">
        <v>118</v>
      </c>
      <c r="N10" s="305"/>
    </row>
    <row r="11" spans="1:13" ht="12.75" customHeight="1">
      <c r="A11" s="674" t="s">
        <v>13</v>
      </c>
      <c r="B11" s="671" t="s">
        <v>31</v>
      </c>
      <c r="C11" s="671" t="s">
        <v>61</v>
      </c>
      <c r="D11" s="672"/>
      <c r="E11" s="672"/>
      <c r="F11" s="672"/>
      <c r="G11" s="672"/>
      <c r="H11" s="672"/>
      <c r="I11" s="634" t="s">
        <v>35</v>
      </c>
      <c r="J11" s="676"/>
      <c r="K11" s="676"/>
      <c r="L11" s="676"/>
      <c r="M11" s="677"/>
    </row>
    <row r="12" spans="1:13" ht="12.75">
      <c r="A12" s="675"/>
      <c r="B12" s="673"/>
      <c r="C12" s="307" t="s">
        <v>109</v>
      </c>
      <c r="D12" s="307" t="s">
        <v>110</v>
      </c>
      <c r="E12" s="307" t="s">
        <v>111</v>
      </c>
      <c r="F12" s="307" t="s">
        <v>112</v>
      </c>
      <c r="G12" s="307" t="s">
        <v>113</v>
      </c>
      <c r="H12" s="307" t="s">
        <v>114</v>
      </c>
      <c r="I12" s="678"/>
      <c r="J12" s="678"/>
      <c r="K12" s="678"/>
      <c r="L12" s="678"/>
      <c r="M12" s="679"/>
    </row>
    <row r="13" spans="1:14" ht="54" customHeight="1" thickBot="1">
      <c r="A13" s="315">
        <v>1</v>
      </c>
      <c r="B13" s="420" t="s">
        <v>386</v>
      </c>
      <c r="C13" s="221">
        <v>0.1</v>
      </c>
      <c r="D13" s="221">
        <v>0.1</v>
      </c>
      <c r="E13" s="221">
        <v>0.25</v>
      </c>
      <c r="F13" s="221">
        <v>0.25</v>
      </c>
      <c r="G13" s="221">
        <v>0.2</v>
      </c>
      <c r="H13" s="221">
        <v>0.1</v>
      </c>
      <c r="I13" s="686" t="s">
        <v>470</v>
      </c>
      <c r="J13" s="687"/>
      <c r="K13" s="687"/>
      <c r="L13" s="687"/>
      <c r="M13" s="688"/>
      <c r="N13" s="419">
        <f>SUM(C13:H13)</f>
        <v>0.9999999999999999</v>
      </c>
    </row>
    <row r="14" spans="2:14" s="316" customFormat="1" ht="12.75">
      <c r="B14" s="683"/>
      <c r="C14" s="684"/>
      <c r="D14" s="684"/>
      <c r="E14" s="684"/>
      <c r="F14" s="684"/>
      <c r="G14" s="684"/>
      <c r="H14" s="684"/>
      <c r="I14" s="317"/>
      <c r="J14" s="317"/>
      <c r="K14" s="317"/>
      <c r="L14" s="318"/>
      <c r="M14" s="305"/>
      <c r="N14" s="305"/>
    </row>
    <row r="15" spans="1:14" ht="12.75">
      <c r="A15" s="319"/>
      <c r="B15" s="312"/>
      <c r="C15" s="313"/>
      <c r="D15" s="313"/>
      <c r="E15" s="313"/>
      <c r="F15" s="313"/>
      <c r="G15" s="313"/>
      <c r="H15" s="313"/>
      <c r="I15" s="320"/>
      <c r="J15" s="320"/>
      <c r="L15" s="321"/>
      <c r="M15" s="305"/>
      <c r="N15" s="305"/>
    </row>
    <row r="16" spans="1:14" ht="12.75" customHeight="1" thickBot="1">
      <c r="A16" s="669" t="s">
        <v>156</v>
      </c>
      <c r="B16" s="670"/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271" t="s">
        <v>119</v>
      </c>
      <c r="N16" s="322"/>
    </row>
    <row r="17" spans="1:14" ht="12.75" customHeight="1">
      <c r="A17" s="674" t="s">
        <v>13</v>
      </c>
      <c r="B17" s="671" t="s">
        <v>31</v>
      </c>
      <c r="C17" s="671" t="s">
        <v>61</v>
      </c>
      <c r="D17" s="672"/>
      <c r="E17" s="672"/>
      <c r="F17" s="672"/>
      <c r="G17" s="672"/>
      <c r="H17" s="672"/>
      <c r="I17" s="634" t="s">
        <v>35</v>
      </c>
      <c r="J17" s="676"/>
      <c r="K17" s="676"/>
      <c r="L17" s="676"/>
      <c r="M17" s="677"/>
      <c r="N17" s="321"/>
    </row>
    <row r="18" spans="1:14" ht="13.5" customHeight="1">
      <c r="A18" s="675"/>
      <c r="B18" s="673"/>
      <c r="C18" s="307" t="s">
        <v>109</v>
      </c>
      <c r="D18" s="307" t="s">
        <v>110</v>
      </c>
      <c r="E18" s="307" t="s">
        <v>111</v>
      </c>
      <c r="F18" s="307" t="s">
        <v>112</v>
      </c>
      <c r="G18" s="307" t="s">
        <v>113</v>
      </c>
      <c r="H18" s="307" t="s">
        <v>114</v>
      </c>
      <c r="I18" s="678"/>
      <c r="J18" s="678"/>
      <c r="K18" s="678"/>
      <c r="L18" s="678"/>
      <c r="M18" s="679"/>
      <c r="N18" s="321"/>
    </row>
    <row r="19" spans="1:14" ht="25.5">
      <c r="A19" s="308">
        <v>1</v>
      </c>
      <c r="B19" s="256" t="s">
        <v>71</v>
      </c>
      <c r="C19" s="222">
        <v>0</v>
      </c>
      <c r="D19" s="222">
        <v>0</v>
      </c>
      <c r="E19" s="222">
        <v>0.25</v>
      </c>
      <c r="F19" s="222">
        <v>0.25</v>
      </c>
      <c r="G19" s="222">
        <v>0.25</v>
      </c>
      <c r="H19" s="222">
        <v>0.25</v>
      </c>
      <c r="I19" s="680" t="s">
        <v>365</v>
      </c>
      <c r="J19" s="681"/>
      <c r="K19" s="681"/>
      <c r="L19" s="681"/>
      <c r="M19" s="682"/>
      <c r="N19" s="321">
        <f>SUM(C19:H19)</f>
        <v>1</v>
      </c>
    </row>
    <row r="20" spans="1:14" ht="30" customHeight="1">
      <c r="A20" s="308">
        <f>A19+1</f>
        <v>2</v>
      </c>
      <c r="B20" s="256" t="s">
        <v>72</v>
      </c>
      <c r="C20" s="222">
        <v>0</v>
      </c>
      <c r="D20" s="222">
        <v>0</v>
      </c>
      <c r="E20" s="222">
        <v>0</v>
      </c>
      <c r="F20" s="222">
        <v>0</v>
      </c>
      <c r="G20" s="222">
        <v>0.5</v>
      </c>
      <c r="H20" s="222">
        <v>0.5</v>
      </c>
      <c r="I20" s="680" t="s">
        <v>365</v>
      </c>
      <c r="J20" s="681"/>
      <c r="K20" s="681"/>
      <c r="L20" s="681"/>
      <c r="M20" s="682"/>
      <c r="N20" s="321">
        <f>SUM(C20:H20)</f>
        <v>1</v>
      </c>
    </row>
    <row r="21" spans="1:14" ht="27.75" customHeight="1" thickBot="1">
      <c r="A21" s="315">
        <f>A20+1</f>
        <v>3</v>
      </c>
      <c r="B21" s="512" t="s">
        <v>445</v>
      </c>
      <c r="C21" s="221">
        <v>0</v>
      </c>
      <c r="D21" s="221">
        <v>0</v>
      </c>
      <c r="E21" s="221">
        <v>0</v>
      </c>
      <c r="F21" s="221">
        <v>0</v>
      </c>
      <c r="G21" s="221">
        <v>0.5</v>
      </c>
      <c r="H21" s="221">
        <v>0.5</v>
      </c>
      <c r="I21" s="664" t="s">
        <v>365</v>
      </c>
      <c r="J21" s="665"/>
      <c r="K21" s="665"/>
      <c r="L21" s="665"/>
      <c r="M21" s="666"/>
      <c r="N21" s="321">
        <f>SUM(C21:H21)</f>
        <v>1</v>
      </c>
    </row>
    <row r="22" spans="1:14" ht="13.5" customHeight="1">
      <c r="A22" s="323"/>
      <c r="B22" s="667"/>
      <c r="C22" s="668"/>
      <c r="D22" s="668"/>
      <c r="E22" s="668"/>
      <c r="F22" s="668"/>
      <c r="G22" s="668"/>
      <c r="H22" s="668"/>
      <c r="J22" s="326"/>
      <c r="K22" s="326"/>
      <c r="L22" s="321"/>
      <c r="M22" s="305"/>
      <c r="N22" s="327"/>
    </row>
    <row r="23" spans="1:14" ht="13.5" customHeight="1">
      <c r="A23" s="323"/>
      <c r="B23" s="324"/>
      <c r="C23" s="325"/>
      <c r="D23" s="325"/>
      <c r="E23" s="325"/>
      <c r="F23" s="325"/>
      <c r="G23" s="325"/>
      <c r="H23" s="325"/>
      <c r="I23" s="327"/>
      <c r="J23" s="326"/>
      <c r="K23" s="326"/>
      <c r="L23" s="321"/>
      <c r="M23" s="305"/>
      <c r="N23" s="305"/>
    </row>
    <row r="24" spans="1:14" ht="12.75">
      <c r="A24" s="305"/>
      <c r="B24" s="328"/>
      <c r="C24" s="328"/>
      <c r="D24" s="328"/>
      <c r="E24" s="328"/>
      <c r="F24" s="328"/>
      <c r="G24" s="328"/>
      <c r="H24" s="329"/>
      <c r="I24" s="305"/>
      <c r="J24" s="305"/>
      <c r="K24" s="305"/>
      <c r="L24" s="305"/>
      <c r="M24" s="305"/>
      <c r="N24" s="305"/>
    </row>
    <row r="25" spans="1:15" ht="13.5" thickBot="1">
      <c r="A25" s="669" t="s">
        <v>364</v>
      </c>
      <c r="B25" s="685"/>
      <c r="C25" s="685"/>
      <c r="D25" s="685"/>
      <c r="E25" s="685"/>
      <c r="F25" s="685"/>
      <c r="G25" s="685"/>
      <c r="H25" s="685"/>
      <c r="I25" s="685"/>
      <c r="J25" s="685"/>
      <c r="K25" s="685"/>
      <c r="L25" s="685"/>
      <c r="M25" s="685"/>
      <c r="N25" s="670"/>
      <c r="O25" s="330" t="s">
        <v>451</v>
      </c>
    </row>
    <row r="26" spans="1:15" ht="12.75">
      <c r="A26" s="694" t="s">
        <v>13</v>
      </c>
      <c r="B26" s="697" t="s">
        <v>31</v>
      </c>
      <c r="C26" s="690" t="s">
        <v>61</v>
      </c>
      <c r="D26" s="690"/>
      <c r="E26" s="690"/>
      <c r="F26" s="690"/>
      <c r="G26" s="690"/>
      <c r="H26" s="690"/>
      <c r="I26" s="690"/>
      <c r="J26" s="690"/>
      <c r="K26" s="690"/>
      <c r="L26" s="690"/>
      <c r="M26" s="690"/>
      <c r="N26" s="690"/>
      <c r="O26" s="656" t="s">
        <v>35</v>
      </c>
    </row>
    <row r="27" spans="1:15" ht="12.75">
      <c r="A27" s="695"/>
      <c r="B27" s="698"/>
      <c r="C27" s="691" t="s">
        <v>25</v>
      </c>
      <c r="D27" s="691"/>
      <c r="E27" s="691"/>
      <c r="F27" s="691"/>
      <c r="G27" s="692" t="s">
        <v>26</v>
      </c>
      <c r="H27" s="692"/>
      <c r="I27" s="692"/>
      <c r="J27" s="692"/>
      <c r="K27" s="692" t="s">
        <v>57</v>
      </c>
      <c r="L27" s="692"/>
      <c r="M27" s="692"/>
      <c r="N27" s="692"/>
      <c r="O27" s="657"/>
    </row>
    <row r="28" spans="1:15" ht="12.75">
      <c r="A28" s="695"/>
      <c r="B28" s="698"/>
      <c r="C28" s="259" t="s">
        <v>91</v>
      </c>
      <c r="D28" s="259" t="s">
        <v>92</v>
      </c>
      <c r="E28" s="259" t="s">
        <v>93</v>
      </c>
      <c r="F28" s="259" t="s">
        <v>94</v>
      </c>
      <c r="G28" s="259" t="s">
        <v>103</v>
      </c>
      <c r="H28" s="259" t="s">
        <v>124</v>
      </c>
      <c r="I28" s="259" t="s">
        <v>125</v>
      </c>
      <c r="J28" s="259" t="s">
        <v>126</v>
      </c>
      <c r="K28" s="259" t="s">
        <v>127</v>
      </c>
      <c r="L28" s="259" t="s">
        <v>128</v>
      </c>
      <c r="M28" s="259" t="s">
        <v>129</v>
      </c>
      <c r="N28" s="259" t="s">
        <v>130</v>
      </c>
      <c r="O28" s="658"/>
    </row>
    <row r="29" spans="1:15" ht="12.75">
      <c r="A29" s="696"/>
      <c r="B29" s="699"/>
      <c r="C29" s="259" t="s">
        <v>36</v>
      </c>
      <c r="D29" s="259" t="s">
        <v>36</v>
      </c>
      <c r="E29" s="259" t="s">
        <v>36</v>
      </c>
      <c r="F29" s="259" t="s">
        <v>36</v>
      </c>
      <c r="G29" s="259">
        <f>1/8</f>
        <v>0.125</v>
      </c>
      <c r="H29" s="259">
        <f>2/8</f>
        <v>0.25</v>
      </c>
      <c r="I29" s="259">
        <f>3/8</f>
        <v>0.375</v>
      </c>
      <c r="J29" s="259">
        <f>4/8</f>
        <v>0.5</v>
      </c>
      <c r="K29" s="259">
        <f>5/8</f>
        <v>0.625</v>
      </c>
      <c r="L29" s="259">
        <f>6/8</f>
        <v>0.75</v>
      </c>
      <c r="M29" s="259">
        <f>7/8</f>
        <v>0.875</v>
      </c>
      <c r="N29" s="523">
        <f>8/8</f>
        <v>1</v>
      </c>
      <c r="O29" s="514"/>
    </row>
    <row r="30" spans="1:15" ht="12.75">
      <c r="A30" s="261">
        <v>1</v>
      </c>
      <c r="B30" s="286" t="s">
        <v>338</v>
      </c>
      <c r="C30" s="287">
        <f>IF(C19=0,0,"Введите поправку на строительную готовность")</f>
        <v>0</v>
      </c>
      <c r="D30" s="287">
        <v>0</v>
      </c>
      <c r="E30" s="287">
        <v>0</v>
      </c>
      <c r="F30" s="287">
        <v>0</v>
      </c>
      <c r="G30" s="227">
        <v>0.77</v>
      </c>
      <c r="H30" s="227">
        <v>0.81</v>
      </c>
      <c r="I30" s="227">
        <v>0.84</v>
      </c>
      <c r="J30" s="227">
        <v>0.85</v>
      </c>
      <c r="K30" s="227">
        <v>0.85</v>
      </c>
      <c r="L30" s="227">
        <v>0.86</v>
      </c>
      <c r="M30" s="227">
        <v>0.87</v>
      </c>
      <c r="N30" s="227">
        <v>1</v>
      </c>
      <c r="O30" s="342" t="s">
        <v>365</v>
      </c>
    </row>
    <row r="31" spans="1:15" ht="12.75">
      <c r="A31" s="261">
        <v>2</v>
      </c>
      <c r="B31" s="288" t="s">
        <v>339</v>
      </c>
      <c r="C31" s="287">
        <v>0</v>
      </c>
      <c r="D31" s="287">
        <v>0</v>
      </c>
      <c r="E31" s="287">
        <v>0</v>
      </c>
      <c r="F31" s="287">
        <v>0</v>
      </c>
      <c r="G31" s="227">
        <v>0.77</v>
      </c>
      <c r="H31" s="227">
        <v>0.81</v>
      </c>
      <c r="I31" s="227">
        <v>0.84</v>
      </c>
      <c r="J31" s="227">
        <v>0.85</v>
      </c>
      <c r="K31" s="227">
        <v>0.85</v>
      </c>
      <c r="L31" s="227">
        <v>0.86</v>
      </c>
      <c r="M31" s="227">
        <v>0.87</v>
      </c>
      <c r="N31" s="227">
        <v>1</v>
      </c>
      <c r="O31" s="342" t="s">
        <v>365</v>
      </c>
    </row>
    <row r="32" spans="1:15" ht="13.5" thickBot="1">
      <c r="A32" s="263">
        <v>3</v>
      </c>
      <c r="B32" s="289" t="s">
        <v>446</v>
      </c>
      <c r="C32" s="345">
        <v>0</v>
      </c>
      <c r="D32" s="345">
        <v>0</v>
      </c>
      <c r="E32" s="345">
        <v>0</v>
      </c>
      <c r="F32" s="345">
        <v>0</v>
      </c>
      <c r="G32" s="339">
        <v>0.77</v>
      </c>
      <c r="H32" s="339">
        <v>0.81</v>
      </c>
      <c r="I32" s="339">
        <v>0.84</v>
      </c>
      <c r="J32" s="339">
        <v>0.85</v>
      </c>
      <c r="K32" s="339">
        <v>0.85</v>
      </c>
      <c r="L32" s="339">
        <v>0.86</v>
      </c>
      <c r="M32" s="339">
        <v>0.87</v>
      </c>
      <c r="N32" s="339">
        <v>1</v>
      </c>
      <c r="O32" s="343" t="s">
        <v>365</v>
      </c>
    </row>
    <row r="33" spans="2:12" ht="12.75">
      <c r="B33" s="689"/>
      <c r="C33" s="689"/>
      <c r="D33" s="689"/>
      <c r="E33" s="689"/>
      <c r="F33" s="689"/>
      <c r="G33" s="689"/>
      <c r="H33" s="689"/>
      <c r="I33" s="689"/>
      <c r="J33" s="689"/>
      <c r="K33" s="689"/>
      <c r="L33" s="689"/>
    </row>
  </sheetData>
  <sheetProtection password="D076" sheet="1" objects="1" scenarios="1"/>
  <mergeCells count="49">
    <mergeCell ref="E8:F8"/>
    <mergeCell ref="I19:M19"/>
    <mergeCell ref="A26:A29"/>
    <mergeCell ref="B26:B29"/>
    <mergeCell ref="I20:M20"/>
    <mergeCell ref="A16:L16"/>
    <mergeCell ref="A17:A18"/>
    <mergeCell ref="B17:B18"/>
    <mergeCell ref="C17:H17"/>
    <mergeCell ref="A11:A12"/>
    <mergeCell ref="I7:M7"/>
    <mergeCell ref="I8:M8"/>
    <mergeCell ref="I11:M12"/>
    <mergeCell ref="A10:L10"/>
    <mergeCell ref="G8:H8"/>
    <mergeCell ref="C8:D8"/>
    <mergeCell ref="E7:F7"/>
    <mergeCell ref="B11:B12"/>
    <mergeCell ref="C7:D7"/>
    <mergeCell ref="C11:H11"/>
    <mergeCell ref="B33:L33"/>
    <mergeCell ref="C26:N26"/>
    <mergeCell ref="C27:F27"/>
    <mergeCell ref="G27:J27"/>
    <mergeCell ref="K27:N27"/>
    <mergeCell ref="B14:H14"/>
    <mergeCell ref="I17:M18"/>
    <mergeCell ref="A25:N25"/>
    <mergeCell ref="I13:M13"/>
    <mergeCell ref="C6:D6"/>
    <mergeCell ref="A2:L2"/>
    <mergeCell ref="C3:H3"/>
    <mergeCell ref="B3:B4"/>
    <mergeCell ref="G4:H4"/>
    <mergeCell ref="A3:A4"/>
    <mergeCell ref="C4:D4"/>
    <mergeCell ref="E4:F4"/>
    <mergeCell ref="I3:M4"/>
    <mergeCell ref="I6:M6"/>
    <mergeCell ref="O26:O28"/>
    <mergeCell ref="I5:M5"/>
    <mergeCell ref="E5:F5"/>
    <mergeCell ref="E6:F6"/>
    <mergeCell ref="I21:M21"/>
    <mergeCell ref="B22:H22"/>
    <mergeCell ref="G5:H5"/>
    <mergeCell ref="G6:H6"/>
    <mergeCell ref="G7:H7"/>
    <mergeCell ref="C5:D5"/>
  </mergeCells>
  <conditionalFormatting sqref="E21:H21 C21">
    <cfRule type="expression" priority="1" dxfId="22" stopIfTrue="1">
      <formula>"СУММ($C$39:$H$39)&lt;&gt;1"</formula>
    </cfRule>
  </conditionalFormatting>
  <conditionalFormatting sqref="D21">
    <cfRule type="expression" priority="2" dxfId="22" stopIfTrue="1">
      <formula>"СУММ($C$39:$H$39)&gt;1"</formula>
    </cfRule>
  </conditionalFormatting>
  <conditionalFormatting sqref="N13 N19:N21">
    <cfRule type="cellIs" priority="3" dxfId="21" operator="notEqual" stopIfTrue="1">
      <formula>1</formula>
    </cfRule>
  </conditionalFormatting>
  <dataValidations count="6">
    <dataValidation type="whole" operator="greaterThan" allowBlank="1" showInputMessage="1" showErrorMessage="1" error="Введите номер страницы в отчете, на которой приведена данная информация" sqref="I19:M21 I6:M8 O30:O32">
      <formula1>0</formula1>
    </dataValidation>
    <dataValidation type="decimal" operator="greaterThan" allowBlank="1" showInputMessage="1" showErrorMessage="1" sqref="C22:D23 C5:H5">
      <formula1>0</formula1>
    </dataValidation>
    <dataValidation type="decimal" operator="greaterThanOrEqual" allowBlank="1" showInputMessage="1" showErrorMessage="1" error="Вводятся положительные значения" sqref="C19:H21">
      <formula1>0</formula1>
    </dataValidation>
    <dataValidation type="decimal" operator="greaterThanOrEqual" allowBlank="1" showInputMessage="1" showErrorMessage="1" error="Значение должно быть больше или равно 0" sqref="C13:H13">
      <formula1>0</formula1>
    </dataValidation>
    <dataValidation errorStyle="warning" allowBlank="1" showInputMessage="1" showErrorMessage="1" error="В случае если величина меньше 0,8 обязательно требуется ее расчетное обоснование." sqref="C30:N32"/>
    <dataValidation type="decimal" operator="greaterThanOrEqual" allowBlank="1" showInputMessage="1" showErrorMessage="1" prompt="Значения принимаются по данным ведущих риэлторских компаний и аналитических порталов, например, АН МИАН, АН МИЭЛЬ, Blackwood, irn.ru." error="Значение должно быть больше или равно 0" sqref="C6:H8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  <rowBreaks count="1" manualBreakCount="1">
    <brk id="2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zoomScaleSheetLayoutView="85" zoomScalePageLayoutView="0" workbookViewId="0" topLeftCell="A11">
      <selection activeCell="C52" sqref="C52:O52"/>
    </sheetView>
  </sheetViews>
  <sheetFormatPr defaultColWidth="9.140625" defaultRowHeight="12.75"/>
  <cols>
    <col min="1" max="1" width="1.8515625" style="40" customWidth="1"/>
    <col min="2" max="2" width="4.28125" style="40" customWidth="1"/>
    <col min="3" max="3" width="28.7109375" style="40" bestFit="1" customWidth="1"/>
    <col min="4" max="4" width="6.57421875" style="40" customWidth="1"/>
    <col min="5" max="5" width="6.7109375" style="40" customWidth="1"/>
    <col min="6" max="7" width="6.57421875" style="40" bestFit="1" customWidth="1"/>
    <col min="8" max="8" width="7.57421875" style="40" customWidth="1"/>
    <col min="9" max="9" width="7.28125" style="40" customWidth="1"/>
    <col min="10" max="10" width="7.421875" style="40" customWidth="1"/>
    <col min="11" max="11" width="7.57421875" style="40" customWidth="1"/>
    <col min="12" max="13" width="7.28125" style="40" customWidth="1"/>
    <col min="14" max="14" width="9.140625" style="40" customWidth="1"/>
    <col min="15" max="15" width="7.7109375" style="40" bestFit="1" customWidth="1"/>
    <col min="16" max="16384" width="9.140625" style="40" customWidth="1"/>
  </cols>
  <sheetData>
    <row r="1" spans="1:15" ht="13.5" thickBot="1">
      <c r="A1" s="257"/>
      <c r="B1" s="713" t="s">
        <v>387</v>
      </c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258" t="s">
        <v>120</v>
      </c>
    </row>
    <row r="2" spans="1:15" ht="12.75">
      <c r="A2" s="257"/>
      <c r="B2" s="756" t="s">
        <v>13</v>
      </c>
      <c r="C2" s="730" t="s">
        <v>31</v>
      </c>
      <c r="D2" s="716" t="s">
        <v>61</v>
      </c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8"/>
    </row>
    <row r="3" spans="1:15" ht="12.75">
      <c r="A3" s="257"/>
      <c r="B3" s="757"/>
      <c r="C3" s="731"/>
      <c r="D3" s="691" t="s">
        <v>25</v>
      </c>
      <c r="E3" s="691"/>
      <c r="F3" s="691"/>
      <c r="G3" s="691"/>
      <c r="H3" s="692" t="s">
        <v>26</v>
      </c>
      <c r="I3" s="692"/>
      <c r="J3" s="692"/>
      <c r="K3" s="692"/>
      <c r="L3" s="692" t="s">
        <v>57</v>
      </c>
      <c r="M3" s="692"/>
      <c r="N3" s="692"/>
      <c r="O3" s="715"/>
    </row>
    <row r="4" spans="1:15" ht="12.75">
      <c r="A4" s="257"/>
      <c r="B4" s="757"/>
      <c r="C4" s="731"/>
      <c r="D4" s="259" t="s">
        <v>91</v>
      </c>
      <c r="E4" s="259" t="s">
        <v>92</v>
      </c>
      <c r="F4" s="259" t="s">
        <v>93</v>
      </c>
      <c r="G4" s="259" t="s">
        <v>94</v>
      </c>
      <c r="H4" s="259" t="s">
        <v>103</v>
      </c>
      <c r="I4" s="259" t="s">
        <v>124</v>
      </c>
      <c r="J4" s="259" t="s">
        <v>125</v>
      </c>
      <c r="K4" s="259" t="s">
        <v>126</v>
      </c>
      <c r="L4" s="259" t="s">
        <v>127</v>
      </c>
      <c r="M4" s="259" t="s">
        <v>128</v>
      </c>
      <c r="N4" s="259" t="s">
        <v>129</v>
      </c>
      <c r="O4" s="260" t="s">
        <v>130</v>
      </c>
    </row>
    <row r="5" spans="1:15" ht="12.75">
      <c r="A5" s="257"/>
      <c r="B5" s="261">
        <v>1</v>
      </c>
      <c r="C5" s="262" t="s">
        <v>350</v>
      </c>
      <c r="D5" s="722">
        <f>'Динамические данные'!C5</f>
        <v>0.15735235830360672</v>
      </c>
      <c r="E5" s="722"/>
      <c r="F5" s="722"/>
      <c r="G5" s="722"/>
      <c r="H5" s="722">
        <f>'Динамические данные'!E5</f>
        <v>0.14819624819624821</v>
      </c>
      <c r="I5" s="722"/>
      <c r="J5" s="722"/>
      <c r="K5" s="722"/>
      <c r="L5" s="722">
        <f>'Динамические данные'!G5</f>
        <v>0.14028528339826574</v>
      </c>
      <c r="M5" s="722"/>
      <c r="N5" s="722"/>
      <c r="O5" s="715"/>
    </row>
    <row r="6" spans="1:15" ht="12.75">
      <c r="A6" s="257"/>
      <c r="B6" s="261">
        <v>2</v>
      </c>
      <c r="C6" s="262" t="s">
        <v>345</v>
      </c>
      <c r="D6" s="520">
        <f>(1+$D5)^(1/4)-1</f>
        <v>0.03720929539999118</v>
      </c>
      <c r="E6" s="520">
        <f>(1+$D5)^(1/4)-1</f>
        <v>0.03720929539999118</v>
      </c>
      <c r="F6" s="520">
        <f>(1+$D5)^(1/4)-1</f>
        <v>0.03720929539999118</v>
      </c>
      <c r="G6" s="520">
        <f>(1+$D5)^(1/4)-1</f>
        <v>0.03720929539999118</v>
      </c>
      <c r="H6" s="520">
        <f>(1+$H5)^(1/4)-1</f>
        <v>0.03515177429604388</v>
      </c>
      <c r="I6" s="520">
        <f>(1+$H5)^(1/4)-1</f>
        <v>0.03515177429604388</v>
      </c>
      <c r="J6" s="520">
        <f>(1+$H5)^(1/4)-1</f>
        <v>0.03515177429604388</v>
      </c>
      <c r="K6" s="520">
        <f>(1+$H5)^(1/4)-1</f>
        <v>0.03515177429604388</v>
      </c>
      <c r="L6" s="520">
        <f>(1+$L5)^(1/4)-1</f>
        <v>0.03336412412936984</v>
      </c>
      <c r="M6" s="520">
        <f>(1+$L5)^(1/4)-1</f>
        <v>0.03336412412936984</v>
      </c>
      <c r="N6" s="520">
        <f>(1+$L5)^(1/4)-1</f>
        <v>0.03336412412936984</v>
      </c>
      <c r="O6" s="521">
        <f>(1+$L5)^(1/4)-1</f>
        <v>0.03336412412936984</v>
      </c>
    </row>
    <row r="7" spans="1:15" ht="13.5" thickBot="1">
      <c r="A7" s="257"/>
      <c r="B7" s="263">
        <v>3</v>
      </c>
      <c r="C7" s="264" t="s">
        <v>346</v>
      </c>
      <c r="D7" s="539">
        <f>D6/2</f>
        <v>0.01860464769999559</v>
      </c>
      <c r="E7" s="539">
        <f aca="true" t="shared" si="0" ref="E7:O7">(1+D7)*(1+E6)-1</f>
        <v>0.0565062089320687</v>
      </c>
      <c r="F7" s="539">
        <f t="shared" si="0"/>
        <v>0.09581806055214681</v>
      </c>
      <c r="G7" s="539">
        <f t="shared" si="0"/>
        <v>0.13659267847187717</v>
      </c>
      <c r="H7" s="539">
        <f t="shared" si="0"/>
        <v>0.17654592777205647</v>
      </c>
      <c r="I7" s="539">
        <f t="shared" si="0"/>
        <v>0.21790360467402925</v>
      </c>
      <c r="J7" s="539">
        <f t="shared" si="0"/>
        <v>0.260715077299869</v>
      </c>
      <c r="K7" s="539">
        <f t="shared" si="0"/>
        <v>0.3050314491487336</v>
      </c>
      <c r="L7" s="539">
        <f t="shared" si="0"/>
        <v>0.3485726804108633</v>
      </c>
      <c r="M7" s="539">
        <f t="shared" si="0"/>
        <v>0.39356662671756837</v>
      </c>
      <c r="N7" s="539">
        <f t="shared" si="0"/>
        <v>0.44006175663392044</v>
      </c>
      <c r="O7" s="540">
        <f t="shared" si="0"/>
        <v>0.48810815583621303</v>
      </c>
    </row>
    <row r="8" spans="1:15" ht="12.75">
      <c r="A8" s="257"/>
      <c r="B8" s="265"/>
      <c r="C8" s="723" t="str">
        <f>'Динамические данные'!I5</f>
        <v>Ко-Инвест № 59, стр. 61</v>
      </c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714"/>
    </row>
    <row r="9" spans="1:15" ht="12.75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</row>
    <row r="10" spans="1:15" ht="13.5" thickBot="1">
      <c r="A10" s="257"/>
      <c r="B10" s="725" t="s">
        <v>48</v>
      </c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258" t="s">
        <v>121</v>
      </c>
    </row>
    <row r="11" spans="1:15" ht="12.75">
      <c r="A11" s="257"/>
      <c r="B11" s="728" t="s">
        <v>13</v>
      </c>
      <c r="C11" s="730" t="s">
        <v>31</v>
      </c>
      <c r="D11" s="690" t="s">
        <v>61</v>
      </c>
      <c r="E11" s="690"/>
      <c r="F11" s="690"/>
      <c r="G11" s="690"/>
      <c r="H11" s="690"/>
      <c r="I11" s="690"/>
      <c r="J11" s="690"/>
      <c r="K11" s="690"/>
      <c r="L11" s="690"/>
      <c r="M11" s="690"/>
      <c r="N11" s="690"/>
      <c r="O11" s="732"/>
    </row>
    <row r="12" spans="1:15" ht="12.75">
      <c r="A12" s="257"/>
      <c r="B12" s="729"/>
      <c r="C12" s="731"/>
      <c r="D12" s="691" t="s">
        <v>25</v>
      </c>
      <c r="E12" s="691"/>
      <c r="F12" s="691"/>
      <c r="G12" s="691"/>
      <c r="H12" s="692" t="s">
        <v>26</v>
      </c>
      <c r="I12" s="692"/>
      <c r="J12" s="692"/>
      <c r="K12" s="692"/>
      <c r="L12" s="692" t="s">
        <v>57</v>
      </c>
      <c r="M12" s="692"/>
      <c r="N12" s="692"/>
      <c r="O12" s="708"/>
    </row>
    <row r="13" spans="1:15" ht="12.75">
      <c r="A13" s="257"/>
      <c r="B13" s="729"/>
      <c r="C13" s="731"/>
      <c r="D13" s="259" t="s">
        <v>91</v>
      </c>
      <c r="E13" s="259" t="s">
        <v>92</v>
      </c>
      <c r="F13" s="259" t="s">
        <v>93</v>
      </c>
      <c r="G13" s="259" t="s">
        <v>94</v>
      </c>
      <c r="H13" s="259" t="s">
        <v>103</v>
      </c>
      <c r="I13" s="259" t="s">
        <v>124</v>
      </c>
      <c r="J13" s="259" t="s">
        <v>125</v>
      </c>
      <c r="K13" s="259" t="s">
        <v>126</v>
      </c>
      <c r="L13" s="259" t="s">
        <v>127</v>
      </c>
      <c r="M13" s="259" t="s">
        <v>128</v>
      </c>
      <c r="N13" s="259" t="s">
        <v>129</v>
      </c>
      <c r="O13" s="260" t="s">
        <v>130</v>
      </c>
    </row>
    <row r="14" spans="1:15" ht="12.75">
      <c r="A14" s="257"/>
      <c r="B14" s="261">
        <v>1</v>
      </c>
      <c r="C14" s="262" t="s">
        <v>350</v>
      </c>
      <c r="D14" s="722">
        <f>'Динамические данные'!C6</f>
        <v>0.16</v>
      </c>
      <c r="E14" s="722"/>
      <c r="F14" s="722"/>
      <c r="G14" s="722"/>
      <c r="H14" s="722">
        <f>'Динамические данные'!E6</f>
        <v>0.15</v>
      </c>
      <c r="I14" s="722"/>
      <c r="J14" s="722"/>
      <c r="K14" s="722"/>
      <c r="L14" s="722">
        <f>'Динамические данные'!G6</f>
        <v>0.14</v>
      </c>
      <c r="M14" s="722"/>
      <c r="N14" s="722"/>
      <c r="O14" s="743"/>
    </row>
    <row r="15" spans="1:15" ht="12.75">
      <c r="A15" s="257"/>
      <c r="B15" s="261">
        <v>2</v>
      </c>
      <c r="C15" s="262" t="s">
        <v>345</v>
      </c>
      <c r="D15" s="520">
        <f>(1+$D14)^(1/4)-1</f>
        <v>0.03780198565376658</v>
      </c>
      <c r="E15" s="520">
        <f>(1+$D14)^(1/4)-1</f>
        <v>0.03780198565376658</v>
      </c>
      <c r="F15" s="520">
        <f>(1+$D14)^(1/4)-1</f>
        <v>0.03780198565376658</v>
      </c>
      <c r="G15" s="520">
        <f>(1+$D14)^(1/4)-1</f>
        <v>0.03780198565376658</v>
      </c>
      <c r="H15" s="520">
        <f>(1+$H14)^(1/4)-1</f>
        <v>0.035558076341622114</v>
      </c>
      <c r="I15" s="520">
        <f>(1+$H14)^(1/4)-1</f>
        <v>0.035558076341622114</v>
      </c>
      <c r="J15" s="520">
        <f>(1+$H14)^(1/4)-1</f>
        <v>0.035558076341622114</v>
      </c>
      <c r="K15" s="520">
        <f>(1+$H14)^(1/4)-1</f>
        <v>0.035558076341622114</v>
      </c>
      <c r="L15" s="520">
        <f>(1+$L14)^(1/4)-1</f>
        <v>0.03329948475895961</v>
      </c>
      <c r="M15" s="520">
        <f>(1+$L14)^(1/4)-1</f>
        <v>0.03329948475895961</v>
      </c>
      <c r="N15" s="520">
        <f>(1+$L14)^(1/4)-1</f>
        <v>0.03329948475895961</v>
      </c>
      <c r="O15" s="521">
        <f>(1+$L14)^(1/4)-1</f>
        <v>0.03329948475895961</v>
      </c>
    </row>
    <row r="16" spans="1:15" ht="13.5" thickBot="1">
      <c r="A16" s="257"/>
      <c r="B16" s="263">
        <v>3</v>
      </c>
      <c r="C16" s="264" t="s">
        <v>346</v>
      </c>
      <c r="D16" s="539">
        <f>D15/2</f>
        <v>0.01890099282688329</v>
      </c>
      <c r="E16" s="539">
        <f aca="true" t="shared" si="1" ref="E16:O16">(1+D16)*(1+E15)-1</f>
        <v>0.05741747354033366</v>
      </c>
      <c r="F16" s="539">
        <f t="shared" si="1"/>
        <v>0.09738995370514747</v>
      </c>
      <c r="G16" s="539">
        <f t="shared" si="1"/>
        <v>0.13887347299169694</v>
      </c>
      <c r="H16" s="539">
        <f t="shared" si="1"/>
        <v>0.1793696228877839</v>
      </c>
      <c r="I16" s="539">
        <f t="shared" si="1"/>
        <v>0.2213057379734178</v>
      </c>
      <c r="J16" s="539">
        <f t="shared" si="1"/>
        <v>0.26473302064073767</v>
      </c>
      <c r="K16" s="539">
        <f t="shared" si="1"/>
        <v>0.3097044939404514</v>
      </c>
      <c r="L16" s="539">
        <f t="shared" si="1"/>
        <v>0.35331697877516244</v>
      </c>
      <c r="M16" s="539">
        <f t="shared" si="1"/>
        <v>0.3983817368839273</v>
      </c>
      <c r="N16" s="539">
        <f t="shared" si="1"/>
        <v>0.44494712821850113</v>
      </c>
      <c r="O16" s="540">
        <f t="shared" si="1"/>
        <v>0.49306312309211564</v>
      </c>
    </row>
    <row r="17" spans="1:15" ht="12.75">
      <c r="A17" s="257"/>
      <c r="B17" s="257"/>
      <c r="C17" s="738" t="str">
        <f>'Динамические данные'!I6</f>
        <v>Указать страницу Отчета</v>
      </c>
      <c r="D17" s="738"/>
      <c r="E17" s="738"/>
      <c r="F17" s="738"/>
      <c r="G17" s="738"/>
      <c r="H17" s="739"/>
      <c r="I17" s="739"/>
      <c r="J17" s="739"/>
      <c r="K17" s="739"/>
      <c r="L17" s="739"/>
      <c r="M17" s="739"/>
      <c r="N17" s="739"/>
      <c r="O17" s="739"/>
    </row>
    <row r="18" spans="1:15" ht="12.75">
      <c r="A18" s="257"/>
      <c r="B18" s="257"/>
      <c r="C18" s="266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</row>
    <row r="19" spans="1:15" ht="13.5" thickBot="1">
      <c r="A19" s="257"/>
      <c r="B19" s="725" t="s">
        <v>49</v>
      </c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268" t="s">
        <v>122</v>
      </c>
    </row>
    <row r="20" spans="1:15" ht="12.75">
      <c r="A20" s="257"/>
      <c r="B20" s="728" t="s">
        <v>13</v>
      </c>
      <c r="C20" s="730" t="s">
        <v>31</v>
      </c>
      <c r="D20" s="690" t="s">
        <v>61</v>
      </c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732"/>
    </row>
    <row r="21" spans="1:15" ht="12.75">
      <c r="A21" s="257"/>
      <c r="B21" s="729"/>
      <c r="C21" s="731"/>
      <c r="D21" s="691" t="s">
        <v>25</v>
      </c>
      <c r="E21" s="691"/>
      <c r="F21" s="691"/>
      <c r="G21" s="691"/>
      <c r="H21" s="692" t="s">
        <v>26</v>
      </c>
      <c r="I21" s="692"/>
      <c r="J21" s="692"/>
      <c r="K21" s="692"/>
      <c r="L21" s="692" t="s">
        <v>57</v>
      </c>
      <c r="M21" s="692"/>
      <c r="N21" s="692"/>
      <c r="O21" s="708"/>
    </row>
    <row r="22" spans="1:15" ht="12.75">
      <c r="A22" s="257"/>
      <c r="B22" s="729"/>
      <c r="C22" s="731"/>
      <c r="D22" s="259" t="s">
        <v>91</v>
      </c>
      <c r="E22" s="259" t="s">
        <v>92</v>
      </c>
      <c r="F22" s="259" t="s">
        <v>93</v>
      </c>
      <c r="G22" s="259" t="s">
        <v>94</v>
      </c>
      <c r="H22" s="259" t="s">
        <v>103</v>
      </c>
      <c r="I22" s="259" t="s">
        <v>124</v>
      </c>
      <c r="J22" s="259" t="s">
        <v>125</v>
      </c>
      <c r="K22" s="259" t="s">
        <v>126</v>
      </c>
      <c r="L22" s="259" t="s">
        <v>127</v>
      </c>
      <c r="M22" s="259" t="s">
        <v>128</v>
      </c>
      <c r="N22" s="259" t="s">
        <v>129</v>
      </c>
      <c r="O22" s="260" t="s">
        <v>130</v>
      </c>
    </row>
    <row r="23" spans="1:15" ht="12.75">
      <c r="A23" s="257"/>
      <c r="B23" s="261">
        <v>1</v>
      </c>
      <c r="C23" s="262" t="s">
        <v>350</v>
      </c>
      <c r="D23" s="722">
        <f>'Динамические данные'!C7</f>
        <v>0.09</v>
      </c>
      <c r="E23" s="722"/>
      <c r="F23" s="722"/>
      <c r="G23" s="722"/>
      <c r="H23" s="722">
        <f>'Динамические данные'!E7</f>
        <v>0.08</v>
      </c>
      <c r="I23" s="722"/>
      <c r="J23" s="722"/>
      <c r="K23" s="722"/>
      <c r="L23" s="722">
        <f>'Динамические данные'!G7</f>
        <v>0.07</v>
      </c>
      <c r="M23" s="722"/>
      <c r="N23" s="722"/>
      <c r="O23" s="743"/>
    </row>
    <row r="24" spans="1:15" ht="12.75">
      <c r="A24" s="257"/>
      <c r="B24" s="261">
        <v>2</v>
      </c>
      <c r="C24" s="262" t="s">
        <v>345</v>
      </c>
      <c r="D24" s="520">
        <f>(1+$D23)^(1/4)-1</f>
        <v>0.021778180864641117</v>
      </c>
      <c r="E24" s="520">
        <f>(1+$D23)^(1/4)-1</f>
        <v>0.021778180864641117</v>
      </c>
      <c r="F24" s="520">
        <f>(1+$D23)^(1/4)-1</f>
        <v>0.021778180864641117</v>
      </c>
      <c r="G24" s="520">
        <f>(1+$D23)^(1/4)-1</f>
        <v>0.021778180864641117</v>
      </c>
      <c r="H24" s="520">
        <f>(1+$H23)^(1/4)-1</f>
        <v>0.0194265469082735</v>
      </c>
      <c r="I24" s="520">
        <f>(1+$H23)^(1/4)-1</f>
        <v>0.0194265469082735</v>
      </c>
      <c r="J24" s="520">
        <f>(1+$H23)^(1/4)-1</f>
        <v>0.0194265469082735</v>
      </c>
      <c r="K24" s="520">
        <f>(1+$H23)^(1/4)-1</f>
        <v>0.0194265469082735</v>
      </c>
      <c r="L24" s="520">
        <f>(1+$L23)^(1/4)-1</f>
        <v>0.017058525001811375</v>
      </c>
      <c r="M24" s="520">
        <f>(1+$L23)^(1/4)-1</f>
        <v>0.017058525001811375</v>
      </c>
      <c r="N24" s="520">
        <f>(1+$L23)^(1/4)-1</f>
        <v>0.017058525001811375</v>
      </c>
      <c r="O24" s="521">
        <f>(1+$L23)^(1/4)-1</f>
        <v>0.017058525001811375</v>
      </c>
    </row>
    <row r="25" spans="1:15" ht="13.5" thickBot="1">
      <c r="A25" s="257"/>
      <c r="B25" s="263">
        <v>3</v>
      </c>
      <c r="C25" s="264" t="s">
        <v>346</v>
      </c>
      <c r="D25" s="539">
        <f>D24/2</f>
        <v>0.010889090432320558</v>
      </c>
      <c r="E25" s="539">
        <f aca="true" t="shared" si="2" ref="E25:O25">(1+D25)*(1+E24)-1</f>
        <v>0.03290441587784798</v>
      </c>
      <c r="F25" s="539">
        <f t="shared" si="2"/>
        <v>0.05539919506272217</v>
      </c>
      <c r="G25" s="539">
        <f t="shared" si="2"/>
        <v>0.07838386961719479</v>
      </c>
      <c r="H25" s="539">
        <f t="shared" si="2"/>
        <v>0.09933314444543861</v>
      </c>
      <c r="I25" s="539">
        <f t="shared" si="2"/>
        <v>0.12068939134382783</v>
      </c>
      <c r="J25" s="539">
        <f t="shared" si="2"/>
        <v>0.1424605163743733</v>
      </c>
      <c r="K25" s="539">
        <f t="shared" si="2"/>
        <v>0.16465457918657034</v>
      </c>
      <c r="L25" s="539">
        <f t="shared" si="2"/>
        <v>0.18452186844409857</v>
      </c>
      <c r="M25" s="539">
        <f t="shared" si="2"/>
        <v>0.20472806435214452</v>
      </c>
      <c r="N25" s="539">
        <f t="shared" si="2"/>
        <v>0.2252789481582793</v>
      </c>
      <c r="O25" s="540">
        <f t="shared" si="2"/>
        <v>0.24618039972963057</v>
      </c>
    </row>
    <row r="26" spans="1:15" ht="12.75">
      <c r="A26" s="257"/>
      <c r="B26" s="257"/>
      <c r="C26" s="738" t="str">
        <f>'Динамические данные'!I7</f>
        <v>Указать страницу Отчета</v>
      </c>
      <c r="D26" s="738"/>
      <c r="E26" s="738"/>
      <c r="F26" s="738"/>
      <c r="G26" s="738"/>
      <c r="H26" s="739"/>
      <c r="I26" s="739"/>
      <c r="J26" s="739"/>
      <c r="K26" s="739"/>
      <c r="L26" s="739"/>
      <c r="M26" s="739"/>
      <c r="N26" s="739"/>
      <c r="O26" s="739"/>
    </row>
    <row r="27" spans="1:15" ht="12.75">
      <c r="A27" s="257"/>
      <c r="B27" s="257"/>
      <c r="C27" s="266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</row>
    <row r="28" spans="1:15" ht="13.5" thickBot="1">
      <c r="A28" s="257"/>
      <c r="B28" s="725" t="s">
        <v>50</v>
      </c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258" t="s">
        <v>123</v>
      </c>
    </row>
    <row r="29" spans="1:15" ht="12.75">
      <c r="A29" s="257"/>
      <c r="B29" s="728" t="s">
        <v>13</v>
      </c>
      <c r="C29" s="730" t="s">
        <v>31</v>
      </c>
      <c r="D29" s="690" t="s">
        <v>61</v>
      </c>
      <c r="E29" s="690"/>
      <c r="F29" s="690"/>
      <c r="G29" s="690"/>
      <c r="H29" s="690"/>
      <c r="I29" s="690"/>
      <c r="J29" s="690"/>
      <c r="K29" s="690"/>
      <c r="L29" s="690"/>
      <c r="M29" s="690"/>
      <c r="N29" s="690"/>
      <c r="O29" s="732"/>
    </row>
    <row r="30" spans="1:15" ht="12.75">
      <c r="A30" s="257"/>
      <c r="B30" s="729"/>
      <c r="C30" s="731"/>
      <c r="D30" s="691" t="s">
        <v>25</v>
      </c>
      <c r="E30" s="691"/>
      <c r="F30" s="691"/>
      <c r="G30" s="691"/>
      <c r="H30" s="692" t="s">
        <v>26</v>
      </c>
      <c r="I30" s="692"/>
      <c r="J30" s="692"/>
      <c r="K30" s="692"/>
      <c r="L30" s="692" t="s">
        <v>57</v>
      </c>
      <c r="M30" s="692"/>
      <c r="N30" s="692"/>
      <c r="O30" s="708"/>
    </row>
    <row r="31" spans="1:15" ht="12.75">
      <c r="A31" s="257"/>
      <c r="B31" s="729"/>
      <c r="C31" s="731"/>
      <c r="D31" s="259" t="s">
        <v>91</v>
      </c>
      <c r="E31" s="259" t="s">
        <v>92</v>
      </c>
      <c r="F31" s="259" t="s">
        <v>93</v>
      </c>
      <c r="G31" s="259" t="s">
        <v>94</v>
      </c>
      <c r="H31" s="259" t="s">
        <v>103</v>
      </c>
      <c r="I31" s="259" t="s">
        <v>124</v>
      </c>
      <c r="J31" s="259" t="s">
        <v>125</v>
      </c>
      <c r="K31" s="259" t="s">
        <v>126</v>
      </c>
      <c r="L31" s="259" t="s">
        <v>127</v>
      </c>
      <c r="M31" s="259" t="s">
        <v>128</v>
      </c>
      <c r="N31" s="259" t="s">
        <v>129</v>
      </c>
      <c r="O31" s="260" t="s">
        <v>130</v>
      </c>
    </row>
    <row r="32" spans="1:15" ht="12.75">
      <c r="A32" s="257"/>
      <c r="B32" s="261">
        <v>1</v>
      </c>
      <c r="C32" s="262" t="s">
        <v>350</v>
      </c>
      <c r="D32" s="722">
        <f>'Динамические данные'!C8</f>
        <v>0.09</v>
      </c>
      <c r="E32" s="722"/>
      <c r="F32" s="722"/>
      <c r="G32" s="722"/>
      <c r="H32" s="722">
        <f>'Динамические данные'!E8</f>
        <v>0.08</v>
      </c>
      <c r="I32" s="722"/>
      <c r="J32" s="722"/>
      <c r="K32" s="722"/>
      <c r="L32" s="722">
        <f>'Динамические данные'!G8</f>
        <v>0.07</v>
      </c>
      <c r="M32" s="722"/>
      <c r="N32" s="722"/>
      <c r="O32" s="743"/>
    </row>
    <row r="33" spans="1:15" ht="12.75">
      <c r="A33" s="257"/>
      <c r="B33" s="261">
        <v>2</v>
      </c>
      <c r="C33" s="262" t="s">
        <v>345</v>
      </c>
      <c r="D33" s="520">
        <f>(1+$D32)^(1/4)-1</f>
        <v>0.021778180864641117</v>
      </c>
      <c r="E33" s="520">
        <f>(1+$D32)^(1/4)-1</f>
        <v>0.021778180864641117</v>
      </c>
      <c r="F33" s="520">
        <f>(1+$D32)^(1/4)-1</f>
        <v>0.021778180864641117</v>
      </c>
      <c r="G33" s="520">
        <f>(1+$D32)^(1/4)-1</f>
        <v>0.021778180864641117</v>
      </c>
      <c r="H33" s="520">
        <f>(1+$H32)^(1/4)-1</f>
        <v>0.0194265469082735</v>
      </c>
      <c r="I33" s="520">
        <f>(1+$H32)^(1/4)-1</f>
        <v>0.0194265469082735</v>
      </c>
      <c r="J33" s="520">
        <f>(1+$H32)^(1/4)-1</f>
        <v>0.0194265469082735</v>
      </c>
      <c r="K33" s="520">
        <f>(1+$H32)^(1/4)-1</f>
        <v>0.0194265469082735</v>
      </c>
      <c r="L33" s="520">
        <f>(1+$L32)^(1/4)-1</f>
        <v>0.017058525001811375</v>
      </c>
      <c r="M33" s="520">
        <f>(1+$L32)^(1/4)-1</f>
        <v>0.017058525001811375</v>
      </c>
      <c r="N33" s="520">
        <f>(1+$L32)^(1/4)-1</f>
        <v>0.017058525001811375</v>
      </c>
      <c r="O33" s="521">
        <f>(1+$L32)^(1/4)-1</f>
        <v>0.017058525001811375</v>
      </c>
    </row>
    <row r="34" spans="1:15" ht="13.5" thickBot="1">
      <c r="A34" s="257"/>
      <c r="B34" s="263">
        <v>3</v>
      </c>
      <c r="C34" s="264" t="s">
        <v>346</v>
      </c>
      <c r="D34" s="539">
        <f>D33/2</f>
        <v>0.010889090432320558</v>
      </c>
      <c r="E34" s="539">
        <f aca="true" t="shared" si="3" ref="E34:O34">(1+D34)*(1+E33)-1</f>
        <v>0.03290441587784798</v>
      </c>
      <c r="F34" s="539">
        <f t="shared" si="3"/>
        <v>0.05539919506272217</v>
      </c>
      <c r="G34" s="539">
        <f t="shared" si="3"/>
        <v>0.07838386961719479</v>
      </c>
      <c r="H34" s="539">
        <f t="shared" si="3"/>
        <v>0.09933314444543861</v>
      </c>
      <c r="I34" s="539">
        <f t="shared" si="3"/>
        <v>0.12068939134382783</v>
      </c>
      <c r="J34" s="539">
        <f t="shared" si="3"/>
        <v>0.1424605163743733</v>
      </c>
      <c r="K34" s="539">
        <f t="shared" si="3"/>
        <v>0.16465457918657034</v>
      </c>
      <c r="L34" s="539">
        <f t="shared" si="3"/>
        <v>0.18452186844409857</v>
      </c>
      <c r="M34" s="539">
        <f t="shared" si="3"/>
        <v>0.20472806435214452</v>
      </c>
      <c r="N34" s="539">
        <f t="shared" si="3"/>
        <v>0.2252789481582793</v>
      </c>
      <c r="O34" s="540">
        <f t="shared" si="3"/>
        <v>0.24618039972963057</v>
      </c>
    </row>
    <row r="35" spans="1:15" ht="12.75">
      <c r="A35" s="257"/>
      <c r="B35" s="257"/>
      <c r="C35" s="738" t="str">
        <f>'Динамические данные'!I8</f>
        <v>Указать страницу Отчета</v>
      </c>
      <c r="D35" s="738"/>
      <c r="E35" s="738"/>
      <c r="F35" s="738"/>
      <c r="G35" s="738"/>
      <c r="H35" s="739"/>
      <c r="I35" s="739"/>
      <c r="J35" s="739"/>
      <c r="K35" s="739"/>
      <c r="L35" s="739"/>
      <c r="M35" s="739"/>
      <c r="N35" s="739"/>
      <c r="O35" s="739"/>
    </row>
    <row r="36" spans="1:15" ht="12.75">
      <c r="A36" s="257"/>
      <c r="B36" s="257"/>
      <c r="C36" s="266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</row>
    <row r="37" spans="1:15" ht="12.75">
      <c r="A37" s="257"/>
      <c r="B37" s="257"/>
      <c r="C37" s="727"/>
      <c r="D37" s="727"/>
      <c r="E37" s="727"/>
      <c r="F37" s="727"/>
      <c r="G37" s="727"/>
      <c r="H37" s="727"/>
      <c r="I37" s="727"/>
      <c r="J37" s="727"/>
      <c r="K37" s="727"/>
      <c r="L37" s="727"/>
      <c r="M37" s="727"/>
      <c r="N37" s="727"/>
      <c r="O37" s="257"/>
    </row>
    <row r="38" spans="1:15" ht="13.5" thickBot="1">
      <c r="A38" s="257"/>
      <c r="B38" s="720" t="s">
        <v>385</v>
      </c>
      <c r="C38" s="721"/>
      <c r="D38" s="721"/>
      <c r="E38" s="721"/>
      <c r="F38" s="721"/>
      <c r="G38" s="721"/>
      <c r="H38" s="721"/>
      <c r="I38" s="721"/>
      <c r="J38" s="721"/>
      <c r="K38" s="721"/>
      <c r="L38" s="721"/>
      <c r="M38" s="721"/>
      <c r="N38" s="721"/>
      <c r="O38" s="271" t="s">
        <v>157</v>
      </c>
    </row>
    <row r="39" spans="1:15" ht="12.75">
      <c r="A39" s="257"/>
      <c r="B39" s="728" t="s">
        <v>13</v>
      </c>
      <c r="C39" s="735" t="s">
        <v>31</v>
      </c>
      <c r="D39" s="705" t="s">
        <v>104</v>
      </c>
      <c r="E39" s="705"/>
      <c r="F39" s="705" t="s">
        <v>105</v>
      </c>
      <c r="G39" s="705"/>
      <c r="H39" s="705" t="s">
        <v>106</v>
      </c>
      <c r="I39" s="705"/>
      <c r="J39" s="705" t="s">
        <v>133</v>
      </c>
      <c r="K39" s="705"/>
      <c r="L39" s="705" t="s">
        <v>107</v>
      </c>
      <c r="M39" s="705"/>
      <c r="N39" s="705" t="s">
        <v>108</v>
      </c>
      <c r="O39" s="737"/>
    </row>
    <row r="40" spans="1:15" ht="12.75">
      <c r="A40" s="257"/>
      <c r="B40" s="729"/>
      <c r="C40" s="736"/>
      <c r="D40" s="259" t="s">
        <v>91</v>
      </c>
      <c r="E40" s="259" t="s">
        <v>92</v>
      </c>
      <c r="F40" s="259" t="s">
        <v>93</v>
      </c>
      <c r="G40" s="259" t="s">
        <v>94</v>
      </c>
      <c r="H40" s="259" t="s">
        <v>103</v>
      </c>
      <c r="I40" s="259" t="s">
        <v>124</v>
      </c>
      <c r="J40" s="259" t="s">
        <v>125</v>
      </c>
      <c r="K40" s="259" t="s">
        <v>126</v>
      </c>
      <c r="L40" s="259" t="s">
        <v>127</v>
      </c>
      <c r="M40" s="259" t="s">
        <v>128</v>
      </c>
      <c r="N40" s="530" t="s">
        <v>129</v>
      </c>
      <c r="O40" s="531" t="s">
        <v>130</v>
      </c>
    </row>
    <row r="41" spans="1:15" ht="12.75">
      <c r="A41" s="257"/>
      <c r="B41" s="261">
        <v>1</v>
      </c>
      <c r="C41" s="272" t="s">
        <v>349</v>
      </c>
      <c r="D41" s="700">
        <f>'Динамические данные'!C13</f>
        <v>0.1</v>
      </c>
      <c r="E41" s="700"/>
      <c r="F41" s="700">
        <f>'Динамические данные'!D13</f>
        <v>0.1</v>
      </c>
      <c r="G41" s="700"/>
      <c r="H41" s="700">
        <f>'Динамические данные'!E13</f>
        <v>0.25</v>
      </c>
      <c r="I41" s="700"/>
      <c r="J41" s="700">
        <f>'Динамические данные'!F13</f>
        <v>0.25</v>
      </c>
      <c r="K41" s="700"/>
      <c r="L41" s="700">
        <f>'Динамические данные'!G13</f>
        <v>0.2</v>
      </c>
      <c r="M41" s="700"/>
      <c r="N41" s="700">
        <f>'Динамические данные'!H13</f>
        <v>0.1</v>
      </c>
      <c r="O41" s="719"/>
    </row>
    <row r="42" spans="1:15" ht="12.75">
      <c r="A42" s="257"/>
      <c r="B42" s="261">
        <v>2</v>
      </c>
      <c r="C42" s="272" t="s">
        <v>347</v>
      </c>
      <c r="D42" s="278">
        <f>D41/2</f>
        <v>0.05</v>
      </c>
      <c r="E42" s="278">
        <f>D41/2</f>
        <v>0.05</v>
      </c>
      <c r="F42" s="278">
        <f>F41/2</f>
        <v>0.05</v>
      </c>
      <c r="G42" s="278">
        <f>F41/2</f>
        <v>0.05</v>
      </c>
      <c r="H42" s="278">
        <f>H41/2</f>
        <v>0.125</v>
      </c>
      <c r="I42" s="278">
        <f>H41/2</f>
        <v>0.125</v>
      </c>
      <c r="J42" s="278">
        <f>J41/2</f>
        <v>0.125</v>
      </c>
      <c r="K42" s="278">
        <f>J41/2</f>
        <v>0.125</v>
      </c>
      <c r="L42" s="278">
        <f>L41/2</f>
        <v>0.1</v>
      </c>
      <c r="M42" s="278">
        <f>L41/2</f>
        <v>0.1</v>
      </c>
      <c r="N42" s="278">
        <f>N41/2</f>
        <v>0.05</v>
      </c>
      <c r="O42" s="279">
        <f>N41/2</f>
        <v>0.05</v>
      </c>
    </row>
    <row r="43" spans="1:15" ht="13.5" thickBot="1">
      <c r="A43" s="257"/>
      <c r="B43" s="263">
        <v>3</v>
      </c>
      <c r="C43" s="273" t="s">
        <v>348</v>
      </c>
      <c r="D43" s="282">
        <f>D42</f>
        <v>0.05</v>
      </c>
      <c r="E43" s="282">
        <f>D43+E42</f>
        <v>0.1</v>
      </c>
      <c r="F43" s="282">
        <f aca="true" t="shared" si="4" ref="F43:O43">E43+F42</f>
        <v>0.15000000000000002</v>
      </c>
      <c r="G43" s="282">
        <f t="shared" si="4"/>
        <v>0.2</v>
      </c>
      <c r="H43" s="282">
        <f t="shared" si="4"/>
        <v>0.325</v>
      </c>
      <c r="I43" s="282">
        <f t="shared" si="4"/>
        <v>0.45</v>
      </c>
      <c r="J43" s="282">
        <f t="shared" si="4"/>
        <v>0.575</v>
      </c>
      <c r="K43" s="282">
        <f t="shared" si="4"/>
        <v>0.7</v>
      </c>
      <c r="L43" s="282">
        <f t="shared" si="4"/>
        <v>0.7999999999999999</v>
      </c>
      <c r="M43" s="282">
        <f t="shared" si="4"/>
        <v>0.8999999999999999</v>
      </c>
      <c r="N43" s="282">
        <f t="shared" si="4"/>
        <v>0.95</v>
      </c>
      <c r="O43" s="283">
        <f t="shared" si="4"/>
        <v>1</v>
      </c>
    </row>
    <row r="44" spans="1:15" ht="15.75" customHeight="1">
      <c r="A44" s="257"/>
      <c r="B44" s="265"/>
      <c r="C44" s="738" t="str">
        <f>'Динамические данные'!I13</f>
        <v>Cогласно нормативных документов (СНиПы 1.04.03-85, 1.05.03-87) и анализа рынка строительства жилых комплексов, стр. ___</v>
      </c>
      <c r="D44" s="724"/>
      <c r="E44" s="724"/>
      <c r="F44" s="724"/>
      <c r="G44" s="724"/>
      <c r="H44" s="724"/>
      <c r="I44" s="724"/>
      <c r="J44" s="724"/>
      <c r="K44" s="724"/>
      <c r="L44" s="724"/>
      <c r="M44" s="724"/>
      <c r="N44" s="724"/>
      <c r="O44" s="86"/>
    </row>
    <row r="45" spans="1:16" ht="12.75">
      <c r="A45" s="257"/>
      <c r="B45" s="265"/>
      <c r="C45" s="274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86"/>
    </row>
    <row r="46" spans="1:16" ht="13.5" thickBot="1">
      <c r="A46" s="257"/>
      <c r="B46" s="617" t="s">
        <v>131</v>
      </c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271" t="s">
        <v>158</v>
      </c>
      <c r="P46" s="86"/>
    </row>
    <row r="47" spans="1:15" ht="12.75">
      <c r="A47" s="257"/>
      <c r="B47" s="728" t="s">
        <v>13</v>
      </c>
      <c r="C47" s="735" t="s">
        <v>31</v>
      </c>
      <c r="D47" s="705" t="s">
        <v>104</v>
      </c>
      <c r="E47" s="705"/>
      <c r="F47" s="705" t="s">
        <v>105</v>
      </c>
      <c r="G47" s="705"/>
      <c r="H47" s="705" t="s">
        <v>106</v>
      </c>
      <c r="I47" s="705"/>
      <c r="J47" s="705" t="s">
        <v>133</v>
      </c>
      <c r="K47" s="705"/>
      <c r="L47" s="705" t="s">
        <v>107</v>
      </c>
      <c r="M47" s="705"/>
      <c r="N47" s="705" t="s">
        <v>108</v>
      </c>
      <c r="O47" s="706"/>
    </row>
    <row r="48" spans="1:15" ht="12.75">
      <c r="A48" s="257"/>
      <c r="B48" s="729"/>
      <c r="C48" s="736"/>
      <c r="D48" s="259" t="s">
        <v>91</v>
      </c>
      <c r="E48" s="259" t="s">
        <v>92</v>
      </c>
      <c r="F48" s="259" t="s">
        <v>93</v>
      </c>
      <c r="G48" s="259" t="s">
        <v>94</v>
      </c>
      <c r="H48" s="259" t="s">
        <v>103</v>
      </c>
      <c r="I48" s="259" t="s">
        <v>124</v>
      </c>
      <c r="J48" s="259" t="s">
        <v>125</v>
      </c>
      <c r="K48" s="259" t="s">
        <v>126</v>
      </c>
      <c r="L48" s="259" t="s">
        <v>127</v>
      </c>
      <c r="M48" s="259" t="s">
        <v>128</v>
      </c>
      <c r="N48" s="259" t="s">
        <v>129</v>
      </c>
      <c r="O48" s="260" t="s">
        <v>130</v>
      </c>
    </row>
    <row r="49" spans="1:15" ht="12.75">
      <c r="A49" s="257"/>
      <c r="B49" s="276">
        <v>1</v>
      </c>
      <c r="C49" s="707" t="s">
        <v>70</v>
      </c>
      <c r="D49" s="692"/>
      <c r="E49" s="692"/>
      <c r="F49" s="692"/>
      <c r="G49" s="692"/>
      <c r="H49" s="692"/>
      <c r="I49" s="692"/>
      <c r="J49" s="692"/>
      <c r="K49" s="692"/>
      <c r="L49" s="692"/>
      <c r="M49" s="692"/>
      <c r="N49" s="692"/>
      <c r="O49" s="708"/>
    </row>
    <row r="50" spans="1:15" ht="12.75">
      <c r="A50" s="257"/>
      <c r="B50" s="276">
        <f>B49+1</f>
        <v>2</v>
      </c>
      <c r="C50" s="272" t="s">
        <v>349</v>
      </c>
      <c r="D50" s="709">
        <f>'Динамические данные'!C19</f>
        <v>0</v>
      </c>
      <c r="E50" s="710"/>
      <c r="F50" s="709">
        <v>0</v>
      </c>
      <c r="G50" s="710"/>
      <c r="H50" s="711">
        <f>'Динамические данные'!E19</f>
        <v>0.25</v>
      </c>
      <c r="I50" s="712"/>
      <c r="J50" s="711">
        <f>'Динамические данные'!F19</f>
        <v>0.25</v>
      </c>
      <c r="K50" s="712"/>
      <c r="L50" s="711">
        <f>'Динамические данные'!G19</f>
        <v>0.25</v>
      </c>
      <c r="M50" s="712"/>
      <c r="N50" s="711">
        <f>'Динамические данные'!H19</f>
        <v>0.25</v>
      </c>
      <c r="O50" s="733"/>
    </row>
    <row r="51" spans="1:16" ht="12.75">
      <c r="A51" s="257"/>
      <c r="B51" s="276">
        <f aca="true" t="shared" si="5" ref="B51:B57">B50+1</f>
        <v>3</v>
      </c>
      <c r="C51" s="272" t="s">
        <v>347</v>
      </c>
      <c r="D51" s="304">
        <f>D50/2</f>
        <v>0</v>
      </c>
      <c r="E51" s="304">
        <f>D50/2</f>
        <v>0</v>
      </c>
      <c r="F51" s="304">
        <f>F50/2</f>
        <v>0</v>
      </c>
      <c r="G51" s="304">
        <f>F50/2</f>
        <v>0</v>
      </c>
      <c r="H51" s="278">
        <f>H50/2</f>
        <v>0.125</v>
      </c>
      <c r="I51" s="278">
        <f>H50/2</f>
        <v>0.125</v>
      </c>
      <c r="J51" s="278">
        <f>J50/2</f>
        <v>0.125</v>
      </c>
      <c r="K51" s="278">
        <v>0.125</v>
      </c>
      <c r="L51" s="278">
        <f>L50/2</f>
        <v>0.125</v>
      </c>
      <c r="M51" s="278">
        <f>L50/2</f>
        <v>0.125</v>
      </c>
      <c r="N51" s="278">
        <f>N50/2</f>
        <v>0.125</v>
      </c>
      <c r="O51" s="279">
        <f>N50/2</f>
        <v>0.125</v>
      </c>
      <c r="P51" s="340">
        <f>SUM(D51:O51)</f>
        <v>1</v>
      </c>
    </row>
    <row r="52" spans="1:16" ht="12.75">
      <c r="A52" s="257"/>
      <c r="B52" s="276">
        <f t="shared" si="5"/>
        <v>4</v>
      </c>
      <c r="C52" s="707" t="s">
        <v>60</v>
      </c>
      <c r="D52" s="692"/>
      <c r="E52" s="692"/>
      <c r="F52" s="692"/>
      <c r="G52" s="692"/>
      <c r="H52" s="692"/>
      <c r="I52" s="692"/>
      <c r="J52" s="692"/>
      <c r="K52" s="692"/>
      <c r="L52" s="692"/>
      <c r="M52" s="692"/>
      <c r="N52" s="692"/>
      <c r="O52" s="708"/>
      <c r="P52" s="341"/>
    </row>
    <row r="53" spans="1:16" ht="12.75">
      <c r="A53" s="257"/>
      <c r="B53" s="276">
        <f t="shared" si="5"/>
        <v>5</v>
      </c>
      <c r="C53" s="272" t="s">
        <v>352</v>
      </c>
      <c r="D53" s="709">
        <f>'Динамические данные'!C20</f>
        <v>0</v>
      </c>
      <c r="E53" s="710"/>
      <c r="F53" s="709">
        <f>'Динамические данные'!D20</f>
        <v>0</v>
      </c>
      <c r="G53" s="710"/>
      <c r="H53" s="711">
        <f>'Динамические данные'!E20</f>
        <v>0</v>
      </c>
      <c r="I53" s="712"/>
      <c r="J53" s="711">
        <f>'Динамические данные'!F20</f>
        <v>0</v>
      </c>
      <c r="K53" s="712"/>
      <c r="L53" s="711">
        <f>'Динамические данные'!G20</f>
        <v>0.5</v>
      </c>
      <c r="M53" s="712"/>
      <c r="N53" s="711">
        <f>'Динамические данные'!H20</f>
        <v>0.5</v>
      </c>
      <c r="O53" s="733"/>
      <c r="P53" s="341"/>
    </row>
    <row r="54" spans="1:16" ht="12.75">
      <c r="A54" s="257"/>
      <c r="B54" s="276">
        <f t="shared" si="5"/>
        <v>6</v>
      </c>
      <c r="C54" s="272" t="s">
        <v>347</v>
      </c>
      <c r="D54" s="277">
        <f>D53/2</f>
        <v>0</v>
      </c>
      <c r="E54" s="277">
        <f>D53/2</f>
        <v>0</v>
      </c>
      <c r="F54" s="277">
        <f>F53/2</f>
        <v>0</v>
      </c>
      <c r="G54" s="277">
        <f>F53/2</f>
        <v>0</v>
      </c>
      <c r="H54" s="278">
        <f>H53/2</f>
        <v>0</v>
      </c>
      <c r="I54" s="278">
        <f>H53/2</f>
        <v>0</v>
      </c>
      <c r="J54" s="278">
        <f>J53/2</f>
        <v>0</v>
      </c>
      <c r="K54" s="278">
        <f>J53/2</f>
        <v>0</v>
      </c>
      <c r="L54" s="278">
        <f>L53/2</f>
        <v>0.25</v>
      </c>
      <c r="M54" s="278">
        <f>L53/2</f>
        <v>0.25</v>
      </c>
      <c r="N54" s="278">
        <f>N53/2</f>
        <v>0.25</v>
      </c>
      <c r="O54" s="279">
        <f>N53/2</f>
        <v>0.25</v>
      </c>
      <c r="P54" s="340">
        <f>SUM(D54:O54)</f>
        <v>1</v>
      </c>
    </row>
    <row r="55" spans="1:16" ht="12.75">
      <c r="A55" s="257"/>
      <c r="B55" s="276">
        <f t="shared" si="5"/>
        <v>7</v>
      </c>
      <c r="C55" s="707" t="s">
        <v>59</v>
      </c>
      <c r="D55" s="692"/>
      <c r="E55" s="692"/>
      <c r="F55" s="692"/>
      <c r="G55" s="692"/>
      <c r="H55" s="692"/>
      <c r="I55" s="692"/>
      <c r="J55" s="692"/>
      <c r="K55" s="692"/>
      <c r="L55" s="692"/>
      <c r="M55" s="692"/>
      <c r="N55" s="692"/>
      <c r="O55" s="708"/>
      <c r="P55" s="341"/>
    </row>
    <row r="56" spans="1:16" ht="12.75">
      <c r="A56" s="257"/>
      <c r="B56" s="276">
        <f t="shared" si="5"/>
        <v>8</v>
      </c>
      <c r="C56" s="272" t="s">
        <v>353</v>
      </c>
      <c r="D56" s="709">
        <f>'Динамические данные'!C21</f>
        <v>0</v>
      </c>
      <c r="E56" s="710"/>
      <c r="F56" s="709">
        <f>'Динамические данные'!D21</f>
        <v>0</v>
      </c>
      <c r="G56" s="710"/>
      <c r="H56" s="711">
        <f>'Динамические данные'!E21</f>
        <v>0</v>
      </c>
      <c r="I56" s="712"/>
      <c r="J56" s="711">
        <f>'Динамические данные'!F21</f>
        <v>0</v>
      </c>
      <c r="K56" s="712"/>
      <c r="L56" s="711">
        <f>'Динамические данные'!G21</f>
        <v>0.5</v>
      </c>
      <c r="M56" s="712"/>
      <c r="N56" s="711">
        <f>'Динамические данные'!H21</f>
        <v>0.5</v>
      </c>
      <c r="O56" s="733"/>
      <c r="P56" s="341"/>
    </row>
    <row r="57" spans="1:16" ht="13.5" thickBot="1">
      <c r="A57" s="257"/>
      <c r="B57" s="280">
        <f t="shared" si="5"/>
        <v>9</v>
      </c>
      <c r="C57" s="273" t="s">
        <v>347</v>
      </c>
      <c r="D57" s="281">
        <f>D56/2</f>
        <v>0</v>
      </c>
      <c r="E57" s="281">
        <f>D56/2</f>
        <v>0</v>
      </c>
      <c r="F57" s="281">
        <f>F56/2</f>
        <v>0</v>
      </c>
      <c r="G57" s="281">
        <f>F56/2</f>
        <v>0</v>
      </c>
      <c r="H57" s="282">
        <f>H56/2</f>
        <v>0</v>
      </c>
      <c r="I57" s="282">
        <f>H56/2</f>
        <v>0</v>
      </c>
      <c r="J57" s="282">
        <f>J56/2</f>
        <v>0</v>
      </c>
      <c r="K57" s="282">
        <f>J56/2</f>
        <v>0</v>
      </c>
      <c r="L57" s="282">
        <f>L56/2</f>
        <v>0.25</v>
      </c>
      <c r="M57" s="282">
        <f>L56/2</f>
        <v>0.25</v>
      </c>
      <c r="N57" s="282">
        <f>N56/2</f>
        <v>0.25</v>
      </c>
      <c r="O57" s="283">
        <f>N56/2</f>
        <v>0.25</v>
      </c>
      <c r="P57" s="340">
        <f>SUM(D57:O57)</f>
        <v>1</v>
      </c>
    </row>
    <row r="58" spans="1:15" ht="12.75">
      <c r="A58" s="257"/>
      <c r="B58" s="284"/>
      <c r="C58" s="744" t="str">
        <f>'Динамические данные'!I19</f>
        <v>Указать страницу Отчета</v>
      </c>
      <c r="D58" s="744"/>
      <c r="E58" s="744"/>
      <c r="F58" s="744"/>
      <c r="G58" s="744"/>
      <c r="H58" s="745"/>
      <c r="I58" s="745"/>
      <c r="J58" s="745"/>
      <c r="K58" s="745"/>
      <c r="L58" s="745"/>
      <c r="M58" s="745"/>
      <c r="N58" s="745"/>
      <c r="O58" s="745"/>
    </row>
    <row r="59" spans="1:15" ht="12.75">
      <c r="A59" s="257"/>
      <c r="B59" s="284"/>
      <c r="C59" s="703" t="str">
        <f>'Динамические данные'!I20</f>
        <v>Указать страницу Отчета</v>
      </c>
      <c r="D59" s="703"/>
      <c r="E59" s="703"/>
      <c r="F59" s="703"/>
      <c r="G59" s="703"/>
      <c r="H59" s="704"/>
      <c r="I59" s="704"/>
      <c r="J59" s="704"/>
      <c r="K59" s="704"/>
      <c r="L59" s="704"/>
      <c r="M59" s="704"/>
      <c r="N59" s="704"/>
      <c r="O59" s="704"/>
    </row>
    <row r="60" spans="1:15" ht="12.75">
      <c r="A60" s="257"/>
      <c r="B60" s="284"/>
      <c r="C60" s="701" t="str">
        <f>'Динамические данные'!I21</f>
        <v>Указать страницу Отчета</v>
      </c>
      <c r="D60" s="701"/>
      <c r="E60" s="701"/>
      <c r="F60" s="701"/>
      <c r="G60" s="701"/>
      <c r="H60" s="702"/>
      <c r="I60" s="702"/>
      <c r="J60" s="702"/>
      <c r="K60" s="702"/>
      <c r="L60" s="702"/>
      <c r="M60" s="702"/>
      <c r="N60" s="702"/>
      <c r="O60" s="702"/>
    </row>
    <row r="61" spans="1:15" ht="12.75">
      <c r="A61" s="257"/>
      <c r="B61" s="257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67"/>
      <c r="O61" s="267"/>
    </row>
    <row r="62" spans="1:15" ht="13.5" thickBot="1">
      <c r="A62" s="257"/>
      <c r="B62" s="257"/>
      <c r="C62" s="725" t="s">
        <v>364</v>
      </c>
      <c r="D62" s="725"/>
      <c r="E62" s="725"/>
      <c r="F62" s="725"/>
      <c r="G62" s="725"/>
      <c r="H62" s="725"/>
      <c r="I62" s="725"/>
      <c r="J62" s="725"/>
      <c r="K62" s="725"/>
      <c r="L62" s="725"/>
      <c r="M62" s="725"/>
      <c r="N62" s="725"/>
      <c r="O62" s="285" t="s">
        <v>159</v>
      </c>
    </row>
    <row r="63" spans="1:15" ht="12.75" customHeight="1">
      <c r="A63" s="257"/>
      <c r="B63" s="740" t="s">
        <v>13</v>
      </c>
      <c r="C63" s="697" t="s">
        <v>31</v>
      </c>
      <c r="D63" s="716" t="s">
        <v>61</v>
      </c>
      <c r="E63" s="747"/>
      <c r="F63" s="747"/>
      <c r="G63" s="747"/>
      <c r="H63" s="747"/>
      <c r="I63" s="747"/>
      <c r="J63" s="747"/>
      <c r="K63" s="747"/>
      <c r="L63" s="747"/>
      <c r="M63" s="747"/>
      <c r="N63" s="747"/>
      <c r="O63" s="748"/>
    </row>
    <row r="64" spans="1:15" ht="12.75">
      <c r="A64" s="257"/>
      <c r="B64" s="741"/>
      <c r="C64" s="698"/>
      <c r="D64" s="749" t="s">
        <v>25</v>
      </c>
      <c r="E64" s="750"/>
      <c r="F64" s="750"/>
      <c r="G64" s="751"/>
      <c r="H64" s="752" t="s">
        <v>26</v>
      </c>
      <c r="I64" s="753"/>
      <c r="J64" s="753"/>
      <c r="K64" s="754"/>
      <c r="L64" s="752" t="s">
        <v>57</v>
      </c>
      <c r="M64" s="753"/>
      <c r="N64" s="753"/>
      <c r="O64" s="755"/>
    </row>
    <row r="65" spans="1:15" ht="12.75">
      <c r="A65" s="257"/>
      <c r="B65" s="742"/>
      <c r="C65" s="746"/>
      <c r="D65" s="259" t="s">
        <v>91</v>
      </c>
      <c r="E65" s="259" t="s">
        <v>92</v>
      </c>
      <c r="F65" s="259" t="s">
        <v>93</v>
      </c>
      <c r="G65" s="259" t="s">
        <v>94</v>
      </c>
      <c r="H65" s="259" t="s">
        <v>103</v>
      </c>
      <c r="I65" s="259" t="s">
        <v>124</v>
      </c>
      <c r="J65" s="259" t="s">
        <v>125</v>
      </c>
      <c r="K65" s="259" t="s">
        <v>126</v>
      </c>
      <c r="L65" s="259" t="s">
        <v>127</v>
      </c>
      <c r="M65" s="259" t="s">
        <v>128</v>
      </c>
      <c r="N65" s="259" t="s">
        <v>129</v>
      </c>
      <c r="O65" s="260" t="s">
        <v>130</v>
      </c>
    </row>
    <row r="66" spans="1:15" ht="12.75">
      <c r="A66" s="257"/>
      <c r="B66" s="261">
        <v>1</v>
      </c>
      <c r="C66" s="286" t="s">
        <v>366</v>
      </c>
      <c r="D66" s="287">
        <f>'Динамические данные'!C30</f>
        <v>0</v>
      </c>
      <c r="E66" s="287">
        <f>'Динамические данные'!D30</f>
        <v>0</v>
      </c>
      <c r="F66" s="287">
        <f>'Динамические данные'!E30</f>
        <v>0</v>
      </c>
      <c r="G66" s="287">
        <f>'Динамические данные'!F30</f>
        <v>0</v>
      </c>
      <c r="H66" s="287">
        <f>'Динамические данные'!G30</f>
        <v>0.77</v>
      </c>
      <c r="I66" s="287">
        <f>'Динамические данные'!H30</f>
        <v>0.81</v>
      </c>
      <c r="J66" s="287">
        <f>'Динамические данные'!I30</f>
        <v>0.84</v>
      </c>
      <c r="K66" s="287">
        <f>'Динамические данные'!J30</f>
        <v>0.85</v>
      </c>
      <c r="L66" s="287">
        <f>'Динамические данные'!K30</f>
        <v>0.85</v>
      </c>
      <c r="M66" s="287">
        <f>'Динамические данные'!L30</f>
        <v>0.86</v>
      </c>
      <c r="N66" s="287">
        <f>'Динамические данные'!M30</f>
        <v>0.87</v>
      </c>
      <c r="O66" s="344">
        <f>'Динамические данные'!N30</f>
        <v>1</v>
      </c>
    </row>
    <row r="67" spans="1:15" ht="12.75">
      <c r="A67" s="257"/>
      <c r="B67" s="261">
        <v>2</v>
      </c>
      <c r="C67" s="288" t="s">
        <v>367</v>
      </c>
      <c r="D67" s="287">
        <f>'Динамические данные'!C31</f>
        <v>0</v>
      </c>
      <c r="E67" s="287">
        <f>'Динамические данные'!D31</f>
        <v>0</v>
      </c>
      <c r="F67" s="287">
        <f>'Динамические данные'!E31</f>
        <v>0</v>
      </c>
      <c r="G67" s="287">
        <f>'Динамические данные'!F31</f>
        <v>0</v>
      </c>
      <c r="H67" s="287">
        <f>'Динамические данные'!G31</f>
        <v>0.77</v>
      </c>
      <c r="I67" s="287">
        <f>'Динамические данные'!H31</f>
        <v>0.81</v>
      </c>
      <c r="J67" s="287">
        <f>'Динамические данные'!I31</f>
        <v>0.84</v>
      </c>
      <c r="K67" s="287">
        <f>'Динамические данные'!J31</f>
        <v>0.85</v>
      </c>
      <c r="L67" s="287">
        <f>'Динамические данные'!K31</f>
        <v>0.85</v>
      </c>
      <c r="M67" s="287">
        <f>'Динамические данные'!L31</f>
        <v>0.86</v>
      </c>
      <c r="N67" s="287">
        <f>'Динамические данные'!M31</f>
        <v>0.87</v>
      </c>
      <c r="O67" s="344">
        <f>'Динамические данные'!N31</f>
        <v>1</v>
      </c>
    </row>
    <row r="68" spans="1:15" ht="13.5" thickBot="1">
      <c r="A68" s="257"/>
      <c r="B68" s="263">
        <v>3</v>
      </c>
      <c r="C68" s="289" t="s">
        <v>468</v>
      </c>
      <c r="D68" s="345">
        <f>'Динамические данные'!C32</f>
        <v>0</v>
      </c>
      <c r="E68" s="345">
        <f>'Динамические данные'!D32</f>
        <v>0</v>
      </c>
      <c r="F68" s="345">
        <f>'Динамические данные'!E32</f>
        <v>0</v>
      </c>
      <c r="G68" s="345">
        <f>'Динамические данные'!F32</f>
        <v>0</v>
      </c>
      <c r="H68" s="345">
        <f>'Динамические данные'!G32</f>
        <v>0.77</v>
      </c>
      <c r="I68" s="345">
        <f>'Динамические данные'!H32</f>
        <v>0.81</v>
      </c>
      <c r="J68" s="345">
        <f>'Динамические данные'!I32</f>
        <v>0.84</v>
      </c>
      <c r="K68" s="345">
        <f>'Динамические данные'!J32</f>
        <v>0.85</v>
      </c>
      <c r="L68" s="345">
        <f>'Динамические данные'!K32</f>
        <v>0.85</v>
      </c>
      <c r="M68" s="345">
        <f>'Динамические данные'!L32</f>
        <v>0.86</v>
      </c>
      <c r="N68" s="345">
        <f>'Динамические данные'!M32</f>
        <v>0.87</v>
      </c>
      <c r="O68" s="346">
        <f>'Динамические данные'!N32</f>
        <v>1</v>
      </c>
    </row>
    <row r="69" spans="1:15" ht="12.75">
      <c r="A69" s="257"/>
      <c r="B69" s="265"/>
      <c r="C69" s="744" t="str">
        <f>'Динамические данные'!O30</f>
        <v>Указать страницу Отчета</v>
      </c>
      <c r="D69" s="744"/>
      <c r="E69" s="744"/>
      <c r="F69" s="744"/>
      <c r="G69" s="744"/>
      <c r="H69" s="745"/>
      <c r="I69" s="745"/>
      <c r="J69" s="745"/>
      <c r="K69" s="745"/>
      <c r="L69" s="745"/>
      <c r="M69" s="745"/>
      <c r="N69" s="745"/>
      <c r="O69" s="745"/>
    </row>
    <row r="70" spans="2:15" ht="12.75">
      <c r="B70" s="429"/>
      <c r="C70" s="703" t="str">
        <f>'Динамические данные'!O31</f>
        <v>Указать страницу Отчета</v>
      </c>
      <c r="D70" s="703"/>
      <c r="E70" s="703"/>
      <c r="F70" s="703"/>
      <c r="G70" s="703"/>
      <c r="H70" s="704"/>
      <c r="I70" s="704"/>
      <c r="J70" s="704"/>
      <c r="K70" s="704"/>
      <c r="L70" s="704"/>
      <c r="M70" s="704"/>
      <c r="N70" s="704"/>
      <c r="O70" s="704"/>
    </row>
    <row r="71" spans="2:15" ht="12.75">
      <c r="B71" s="257"/>
      <c r="C71" s="701" t="str">
        <f>'Динамические данные'!O32</f>
        <v>Указать страницу Отчета</v>
      </c>
      <c r="D71" s="701"/>
      <c r="E71" s="701"/>
      <c r="F71" s="701"/>
      <c r="G71" s="701"/>
      <c r="H71" s="702"/>
      <c r="I71" s="702"/>
      <c r="J71" s="702"/>
      <c r="K71" s="702"/>
      <c r="L71" s="702"/>
      <c r="M71" s="702"/>
      <c r="N71" s="702"/>
      <c r="O71" s="702"/>
    </row>
    <row r="72" spans="2:15" ht="12.75"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</row>
  </sheetData>
  <sheetProtection password="D076" sheet="1" objects="1" scenarios="1"/>
  <mergeCells count="104">
    <mergeCell ref="B2:B4"/>
    <mergeCell ref="C44:N44"/>
    <mergeCell ref="L12:O12"/>
    <mergeCell ref="C17:O17"/>
    <mergeCell ref="D14:G14"/>
    <mergeCell ref="L23:O23"/>
    <mergeCell ref="D11:O11"/>
    <mergeCell ref="D23:G23"/>
    <mergeCell ref="H3:K3"/>
    <mergeCell ref="H5:K5"/>
    <mergeCell ref="D3:G3"/>
    <mergeCell ref="C2:C4"/>
    <mergeCell ref="D5:G5"/>
    <mergeCell ref="N56:O56"/>
    <mergeCell ref="D56:E56"/>
    <mergeCell ref="F56:G56"/>
    <mergeCell ref="H56:I56"/>
    <mergeCell ref="J56:K56"/>
    <mergeCell ref="L56:M56"/>
    <mergeCell ref="B19:N19"/>
    <mergeCell ref="C60:O60"/>
    <mergeCell ref="C69:O69"/>
    <mergeCell ref="C58:O58"/>
    <mergeCell ref="C63:C65"/>
    <mergeCell ref="D63:O63"/>
    <mergeCell ref="D64:G64"/>
    <mergeCell ref="H64:K64"/>
    <mergeCell ref="L64:O64"/>
    <mergeCell ref="B63:B65"/>
    <mergeCell ref="C62:N62"/>
    <mergeCell ref="L14:O14"/>
    <mergeCell ref="L32:O32"/>
    <mergeCell ref="D32:G32"/>
    <mergeCell ref="H32:K32"/>
    <mergeCell ref="H30:K30"/>
    <mergeCell ref="L30:O30"/>
    <mergeCell ref="C59:O59"/>
    <mergeCell ref="H23:K23"/>
    <mergeCell ref="D12:G12"/>
    <mergeCell ref="C35:O35"/>
    <mergeCell ref="C11:C13"/>
    <mergeCell ref="H12:K12"/>
    <mergeCell ref="H14:K14"/>
    <mergeCell ref="C26:O26"/>
    <mergeCell ref="H21:K21"/>
    <mergeCell ref="C29:C31"/>
    <mergeCell ref="D29:O29"/>
    <mergeCell ref="D30:G30"/>
    <mergeCell ref="L39:M39"/>
    <mergeCell ref="N39:O39"/>
    <mergeCell ref="C39:C40"/>
    <mergeCell ref="D39:E39"/>
    <mergeCell ref="F39:G39"/>
    <mergeCell ref="H39:I39"/>
    <mergeCell ref="C55:O55"/>
    <mergeCell ref="D53:E53"/>
    <mergeCell ref="C52:O52"/>
    <mergeCell ref="F53:G53"/>
    <mergeCell ref="H53:I53"/>
    <mergeCell ref="J53:K53"/>
    <mergeCell ref="L53:M53"/>
    <mergeCell ref="N53:O53"/>
    <mergeCell ref="J50:K50"/>
    <mergeCell ref="L50:M50"/>
    <mergeCell ref="N50:O50"/>
    <mergeCell ref="B46:N46"/>
    <mergeCell ref="B47:B48"/>
    <mergeCell ref="C47:C48"/>
    <mergeCell ref="D47:E47"/>
    <mergeCell ref="B11:B13"/>
    <mergeCell ref="B20:B22"/>
    <mergeCell ref="B29:B31"/>
    <mergeCell ref="L47:M47"/>
    <mergeCell ref="B39:B40"/>
    <mergeCell ref="B28:N28"/>
    <mergeCell ref="J39:K39"/>
    <mergeCell ref="C20:C22"/>
    <mergeCell ref="D20:O20"/>
    <mergeCell ref="D21:G21"/>
    <mergeCell ref="B1:N1"/>
    <mergeCell ref="L3:O3"/>
    <mergeCell ref="D2:O2"/>
    <mergeCell ref="N41:O41"/>
    <mergeCell ref="B38:N38"/>
    <mergeCell ref="L5:O5"/>
    <mergeCell ref="C8:O8"/>
    <mergeCell ref="B10:N10"/>
    <mergeCell ref="C37:N37"/>
    <mergeCell ref="L21:O21"/>
    <mergeCell ref="C71:O71"/>
    <mergeCell ref="C70:O70"/>
    <mergeCell ref="N47:O47"/>
    <mergeCell ref="C49:O49"/>
    <mergeCell ref="D50:E50"/>
    <mergeCell ref="F50:G50"/>
    <mergeCell ref="H50:I50"/>
    <mergeCell ref="F47:G47"/>
    <mergeCell ref="H47:I47"/>
    <mergeCell ref="J47:K47"/>
    <mergeCell ref="L41:M41"/>
    <mergeCell ref="D41:E41"/>
    <mergeCell ref="F41:G41"/>
    <mergeCell ref="H41:I41"/>
    <mergeCell ref="J41:K41"/>
  </mergeCells>
  <conditionalFormatting sqref="P51 P54 P57">
    <cfRule type="cellIs" priority="1" dxfId="20" operator="notEqual" stopIfTrue="1">
      <formula>1</formula>
    </cfRule>
  </conditionalFormatting>
  <dataValidations count="1">
    <dataValidation allowBlank="1" showInputMessage="1" showErrorMessage="1" prompt="Темп роста для первого квартала принят на середину периода" sqref="D34 D25 D16 D7"/>
  </dataValidations>
  <printOptions/>
  <pageMargins left="0.75" right="0.75" top="1" bottom="1" header="0.5" footer="0.5"/>
  <pageSetup horizontalDpi="600" verticalDpi="600" orientation="landscape" paperSize="9" scale="97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18"/>
  <sheetViews>
    <sheetView zoomScaleSheetLayoutView="80" zoomScalePageLayoutView="0" workbookViewId="0" topLeftCell="A4">
      <selection activeCell="B14" sqref="B14"/>
    </sheetView>
  </sheetViews>
  <sheetFormatPr defaultColWidth="9.140625" defaultRowHeight="12.75"/>
  <cols>
    <col min="1" max="1" width="1.421875" style="29" customWidth="1"/>
    <col min="2" max="2" width="32.421875" style="1" customWidth="1"/>
    <col min="3" max="3" width="27.28125" style="1" customWidth="1"/>
    <col min="4" max="4" width="28.140625" style="1" customWidth="1"/>
    <col min="5" max="5" width="27.28125" style="1" customWidth="1"/>
    <col min="6" max="6" width="27.28125" style="6" customWidth="1"/>
    <col min="7" max="8" width="27.28125" style="7" customWidth="1"/>
    <col min="9" max="9" width="18.140625" style="1" customWidth="1"/>
    <col min="10" max="10" width="12.140625" style="1" customWidth="1"/>
    <col min="11" max="11" width="14.57421875" style="1" customWidth="1"/>
    <col min="12" max="13" width="9.140625" style="1" customWidth="1"/>
    <col min="14" max="14" width="26.8515625" style="1" customWidth="1"/>
    <col min="15" max="16384" width="9.140625" style="1" customWidth="1"/>
  </cols>
  <sheetData>
    <row r="1" spans="1:8" s="29" customFormat="1" ht="13.5" thickBot="1">
      <c r="A1" s="305"/>
      <c r="B1" s="763" t="s">
        <v>389</v>
      </c>
      <c r="C1" s="764"/>
      <c r="D1" s="764"/>
      <c r="E1" s="764"/>
      <c r="F1" s="764"/>
      <c r="G1" s="764"/>
      <c r="H1" s="442" t="s">
        <v>160</v>
      </c>
    </row>
    <row r="2" spans="1:8" ht="12.75">
      <c r="A2" s="305"/>
      <c r="B2" s="503" t="s">
        <v>75</v>
      </c>
      <c r="C2" s="425" t="s">
        <v>3</v>
      </c>
      <c r="D2" s="425" t="s">
        <v>0</v>
      </c>
      <c r="E2" s="425" t="s">
        <v>11</v>
      </c>
      <c r="F2" s="425" t="s">
        <v>1</v>
      </c>
      <c r="G2" s="425" t="s">
        <v>2</v>
      </c>
      <c r="H2" s="504" t="s">
        <v>22</v>
      </c>
    </row>
    <row r="3" spans="1:8" ht="25.5">
      <c r="A3" s="305"/>
      <c r="B3" s="505" t="s">
        <v>436</v>
      </c>
      <c r="C3" s="547" t="s">
        <v>36</v>
      </c>
      <c r="D3" s="219" t="s">
        <v>284</v>
      </c>
      <c r="E3" s="219" t="s">
        <v>284</v>
      </c>
      <c r="F3" s="219" t="s">
        <v>285</v>
      </c>
      <c r="G3" s="219" t="s">
        <v>283</v>
      </c>
      <c r="H3" s="233" t="s">
        <v>283</v>
      </c>
    </row>
    <row r="4" spans="1:9" ht="25.5">
      <c r="A4" s="305"/>
      <c r="B4" s="505" t="s">
        <v>43</v>
      </c>
      <c r="C4" s="547" t="s">
        <v>36</v>
      </c>
      <c r="D4" s="231" t="s">
        <v>246</v>
      </c>
      <c r="E4" s="231" t="s">
        <v>247</v>
      </c>
      <c r="F4" s="231" t="s">
        <v>250</v>
      </c>
      <c r="G4" s="231" t="s">
        <v>248</v>
      </c>
      <c r="H4" s="234" t="s">
        <v>298</v>
      </c>
      <c r="I4" s="41"/>
    </row>
    <row r="5" spans="1:8" ht="28.5" customHeight="1">
      <c r="A5" s="305"/>
      <c r="B5" s="505" t="s">
        <v>66</v>
      </c>
      <c r="C5" s="548">
        <f>'Исходные данные'!E3</f>
        <v>39327</v>
      </c>
      <c r="D5" s="239" t="s">
        <v>321</v>
      </c>
      <c r="E5" s="239" t="s">
        <v>321</v>
      </c>
      <c r="F5" s="239" t="s">
        <v>321</v>
      </c>
      <c r="G5" s="239" t="s">
        <v>321</v>
      </c>
      <c r="H5" s="334" t="s">
        <v>321</v>
      </c>
    </row>
    <row r="6" spans="1:8" ht="12.75">
      <c r="A6" s="305"/>
      <c r="B6" s="505" t="s">
        <v>7</v>
      </c>
      <c r="C6" s="426" t="s">
        <v>343</v>
      </c>
      <c r="D6" s="213" t="s">
        <v>343</v>
      </c>
      <c r="E6" s="213" t="s">
        <v>343</v>
      </c>
      <c r="F6" s="213" t="s">
        <v>343</v>
      </c>
      <c r="G6" s="213" t="s">
        <v>343</v>
      </c>
      <c r="H6" s="236" t="s">
        <v>343</v>
      </c>
    </row>
    <row r="7" spans="1:8" ht="12.75">
      <c r="A7" s="305"/>
      <c r="B7" s="505" t="s">
        <v>369</v>
      </c>
      <c r="C7" s="549" t="s">
        <v>36</v>
      </c>
      <c r="D7" s="212">
        <v>3900</v>
      </c>
      <c r="E7" s="212">
        <v>4300</v>
      </c>
      <c r="F7" s="212">
        <v>3700</v>
      </c>
      <c r="G7" s="212">
        <v>4600</v>
      </c>
      <c r="H7" s="235">
        <v>4000</v>
      </c>
    </row>
    <row r="8" spans="1:8" ht="12.75">
      <c r="A8" s="305"/>
      <c r="B8" s="505" t="s">
        <v>41</v>
      </c>
      <c r="C8" s="552">
        <f>к</f>
        <v>25.5455</v>
      </c>
      <c r="D8" s="524">
        <v>26</v>
      </c>
      <c r="E8" s="524">
        <v>25.5455</v>
      </c>
      <c r="F8" s="524">
        <v>27</v>
      </c>
      <c r="G8" s="524">
        <v>25.5455</v>
      </c>
      <c r="H8" s="525">
        <v>25.5455</v>
      </c>
    </row>
    <row r="9" spans="1:8" s="29" customFormat="1" ht="12.75">
      <c r="A9" s="305"/>
      <c r="B9" s="505" t="s">
        <v>5</v>
      </c>
      <c r="C9" s="552" t="s">
        <v>36</v>
      </c>
      <c r="D9" s="553">
        <f>D8/$C8-1</f>
        <v>0.017791783288641838</v>
      </c>
      <c r="E9" s="553">
        <f>E8/$C8-1</f>
        <v>0</v>
      </c>
      <c r="F9" s="553">
        <f>F8/$C8-1</f>
        <v>0.05693762110743572</v>
      </c>
      <c r="G9" s="553">
        <f>G8/$C8-1</f>
        <v>0</v>
      </c>
      <c r="H9" s="553">
        <f>H8/$C8-1</f>
        <v>0</v>
      </c>
    </row>
    <row r="10" spans="1:8" ht="30" customHeight="1">
      <c r="A10" s="305"/>
      <c r="B10" s="505" t="s">
        <v>73</v>
      </c>
      <c r="C10" s="554" t="s">
        <v>36</v>
      </c>
      <c r="D10" s="550">
        <f>D7*(1+D9)</f>
        <v>3969.387954825703</v>
      </c>
      <c r="E10" s="550">
        <f>E7*(1+E9)</f>
        <v>4300</v>
      </c>
      <c r="F10" s="550">
        <f>F7*(1+F9)</f>
        <v>3910.669198097512</v>
      </c>
      <c r="G10" s="550">
        <f>G7*(1+G9)</f>
        <v>4600</v>
      </c>
      <c r="H10" s="550">
        <f>H7*(1+H9)</f>
        <v>4000</v>
      </c>
    </row>
    <row r="11" spans="1:8" ht="12.75">
      <c r="A11" s="305"/>
      <c r="B11" s="505" t="s">
        <v>64</v>
      </c>
      <c r="C11" s="426" t="s">
        <v>65</v>
      </c>
      <c r="D11" s="290" t="s">
        <v>65</v>
      </c>
      <c r="E11" s="290" t="s">
        <v>65</v>
      </c>
      <c r="F11" s="290" t="s">
        <v>65</v>
      </c>
      <c r="G11" s="290" t="s">
        <v>65</v>
      </c>
      <c r="H11" s="331" t="s">
        <v>65</v>
      </c>
    </row>
    <row r="12" spans="1:8" s="29" customFormat="1" ht="12.75">
      <c r="A12" s="305"/>
      <c r="B12" s="505" t="s">
        <v>5</v>
      </c>
      <c r="C12" s="426"/>
      <c r="D12" s="527">
        <v>0</v>
      </c>
      <c r="E12" s="527">
        <v>0</v>
      </c>
      <c r="F12" s="527">
        <v>0</v>
      </c>
      <c r="G12" s="527">
        <v>0</v>
      </c>
      <c r="H12" s="528">
        <v>0</v>
      </c>
    </row>
    <row r="13" spans="1:8" ht="30" customHeight="1">
      <c r="A13" s="305"/>
      <c r="B13" s="505" t="s">
        <v>73</v>
      </c>
      <c r="C13" s="554" t="s">
        <v>36</v>
      </c>
      <c r="D13" s="550">
        <f>D10*(1+D12)</f>
        <v>3969.387954825703</v>
      </c>
      <c r="E13" s="550">
        <f>E10*(1+E12)</f>
        <v>4300</v>
      </c>
      <c r="F13" s="550">
        <f>F10*(1+F12)</f>
        <v>3910.669198097512</v>
      </c>
      <c r="G13" s="550">
        <f>G10*(1+G12)</f>
        <v>4600</v>
      </c>
      <c r="H13" s="550">
        <f>H10*(1+H12)</f>
        <v>4000</v>
      </c>
    </row>
    <row r="14" spans="1:8" s="32" customFormat="1" ht="12.75">
      <c r="A14" s="556"/>
      <c r="B14" s="505" t="s">
        <v>37</v>
      </c>
      <c r="C14" s="426" t="s">
        <v>39</v>
      </c>
      <c r="D14" s="290" t="s">
        <v>39</v>
      </c>
      <c r="E14" s="290" t="s">
        <v>39</v>
      </c>
      <c r="F14" s="290" t="s">
        <v>39</v>
      </c>
      <c r="G14" s="290" t="s">
        <v>39</v>
      </c>
      <c r="H14" s="331" t="s">
        <v>39</v>
      </c>
    </row>
    <row r="15" spans="1:8" s="29" customFormat="1" ht="12.75">
      <c r="A15" s="305"/>
      <c r="B15" s="505" t="s">
        <v>5</v>
      </c>
      <c r="C15" s="426"/>
      <c r="D15" s="527">
        <v>0</v>
      </c>
      <c r="E15" s="527">
        <v>0</v>
      </c>
      <c r="F15" s="527">
        <v>0</v>
      </c>
      <c r="G15" s="527">
        <v>0</v>
      </c>
      <c r="H15" s="528">
        <v>0</v>
      </c>
    </row>
    <row r="16" spans="1:8" s="32" customFormat="1" ht="27" customHeight="1">
      <c r="A16" s="556"/>
      <c r="B16" s="505" t="s">
        <v>73</v>
      </c>
      <c r="C16" s="554" t="s">
        <v>36</v>
      </c>
      <c r="D16" s="550">
        <f>D13*(1+D15)</f>
        <v>3969.387954825703</v>
      </c>
      <c r="E16" s="550">
        <f>E13*(1+E15)</f>
        <v>4300</v>
      </c>
      <c r="F16" s="550">
        <f>F13*(1+F15)</f>
        <v>3910.669198097512</v>
      </c>
      <c r="G16" s="550">
        <f>G13*(1+G15)</f>
        <v>4600</v>
      </c>
      <c r="H16" s="550">
        <f>H13*(1+H15)</f>
        <v>4000</v>
      </c>
    </row>
    <row r="17" spans="1:8" ht="12.75">
      <c r="A17" s="305"/>
      <c r="B17" s="505" t="s">
        <v>76</v>
      </c>
      <c r="C17" s="557" t="s">
        <v>36</v>
      </c>
      <c r="D17" s="228" t="s">
        <v>351</v>
      </c>
      <c r="E17" s="228" t="s">
        <v>413</v>
      </c>
      <c r="F17" s="228" t="s">
        <v>351</v>
      </c>
      <c r="G17" s="228" t="s">
        <v>351</v>
      </c>
      <c r="H17" s="335" t="s">
        <v>351</v>
      </c>
    </row>
    <row r="18" spans="1:8" s="29" customFormat="1" ht="12.75">
      <c r="A18" s="305"/>
      <c r="B18" s="505" t="s">
        <v>5</v>
      </c>
      <c r="C18" s="426"/>
      <c r="D18" s="527">
        <v>-0.05</v>
      </c>
      <c r="E18" s="527">
        <v>0</v>
      </c>
      <c r="F18" s="527">
        <v>-0.05</v>
      </c>
      <c r="G18" s="527">
        <v>-0.05</v>
      </c>
      <c r="H18" s="528">
        <v>-0.05</v>
      </c>
    </row>
    <row r="19" spans="1:8" ht="30.75" customHeight="1">
      <c r="A19" s="305"/>
      <c r="B19" s="505" t="s">
        <v>73</v>
      </c>
      <c r="C19" s="557"/>
      <c r="D19" s="550">
        <f>D16*(1+D18)</f>
        <v>3770.918557084418</v>
      </c>
      <c r="E19" s="550">
        <f>E16*(1+E18)</f>
        <v>4300</v>
      </c>
      <c r="F19" s="550">
        <f>F16*(1+F18)</f>
        <v>3715.1357381926364</v>
      </c>
      <c r="G19" s="550">
        <f>G16*(1+G18)</f>
        <v>4370</v>
      </c>
      <c r="H19" s="550">
        <f>H16*(1+H18)</f>
        <v>3800</v>
      </c>
    </row>
    <row r="20" spans="1:8" ht="12.75">
      <c r="A20" s="305"/>
      <c r="B20" s="505" t="s">
        <v>38</v>
      </c>
      <c r="C20" s="558">
        <f>'Исходные данные'!E3</f>
        <v>39327</v>
      </c>
      <c r="D20" s="215" t="s">
        <v>321</v>
      </c>
      <c r="E20" s="215" t="s">
        <v>321</v>
      </c>
      <c r="F20" s="215" t="s">
        <v>321</v>
      </c>
      <c r="G20" s="215" t="s">
        <v>321</v>
      </c>
      <c r="H20" s="336" t="s">
        <v>321</v>
      </c>
    </row>
    <row r="21" spans="1:8" s="29" customFormat="1" ht="12.75">
      <c r="A21" s="305"/>
      <c r="B21" s="505" t="s">
        <v>5</v>
      </c>
      <c r="C21" s="426"/>
      <c r="D21" s="527">
        <v>0</v>
      </c>
      <c r="E21" s="527">
        <v>0</v>
      </c>
      <c r="F21" s="527">
        <v>0</v>
      </c>
      <c r="G21" s="527">
        <v>0</v>
      </c>
      <c r="H21" s="528">
        <v>0</v>
      </c>
    </row>
    <row r="22" spans="1:8" ht="26.25" customHeight="1">
      <c r="A22" s="305"/>
      <c r="B22" s="505" t="s">
        <v>73</v>
      </c>
      <c r="C22" s="557" t="s">
        <v>36</v>
      </c>
      <c r="D22" s="550">
        <f>D19*(1+D21)</f>
        <v>3770.918557084418</v>
      </c>
      <c r="E22" s="550">
        <f>E19*(1+E21)</f>
        <v>4300</v>
      </c>
      <c r="F22" s="550">
        <f>F19*(1+F21)</f>
        <v>3715.1357381926364</v>
      </c>
      <c r="G22" s="550">
        <f>G19*(1+G21)</f>
        <v>4370</v>
      </c>
      <c r="H22" s="550">
        <f>H19*(1+H21)</f>
        <v>3800</v>
      </c>
    </row>
    <row r="23" spans="1:8" ht="38.25">
      <c r="A23" s="305"/>
      <c r="B23" s="505" t="s">
        <v>416</v>
      </c>
      <c r="C23" s="213" t="s">
        <v>286</v>
      </c>
      <c r="D23" s="213" t="s">
        <v>287</v>
      </c>
      <c r="E23" s="213" t="s">
        <v>288</v>
      </c>
      <c r="F23" s="213" t="s">
        <v>289</v>
      </c>
      <c r="G23" s="213" t="s">
        <v>290</v>
      </c>
      <c r="H23" s="236" t="s">
        <v>291</v>
      </c>
    </row>
    <row r="24" spans="1:8" s="29" customFormat="1" ht="12.75">
      <c r="A24" s="305"/>
      <c r="B24" s="505" t="s">
        <v>5</v>
      </c>
      <c r="C24" s="426"/>
      <c r="D24" s="527">
        <v>0</v>
      </c>
      <c r="E24" s="527">
        <v>-0.05</v>
      </c>
      <c r="F24" s="527">
        <v>0</v>
      </c>
      <c r="G24" s="527">
        <v>0</v>
      </c>
      <c r="H24" s="528">
        <v>0</v>
      </c>
    </row>
    <row r="25" spans="1:8" ht="25.5">
      <c r="A25" s="305"/>
      <c r="B25" s="505" t="s">
        <v>355</v>
      </c>
      <c r="C25" s="213" t="s">
        <v>341</v>
      </c>
      <c r="D25" s="213" t="s">
        <v>341</v>
      </c>
      <c r="E25" s="229" t="s">
        <v>341</v>
      </c>
      <c r="F25" s="229" t="s">
        <v>341</v>
      </c>
      <c r="G25" s="229" t="s">
        <v>342</v>
      </c>
      <c r="H25" s="332" t="s">
        <v>341</v>
      </c>
    </row>
    <row r="26" spans="1:8" s="29" customFormat="1" ht="12.75">
      <c r="A26" s="305"/>
      <c r="B26" s="505" t="s">
        <v>5</v>
      </c>
      <c r="C26" s="426"/>
      <c r="D26" s="527">
        <v>0</v>
      </c>
      <c r="E26" s="527">
        <v>0</v>
      </c>
      <c r="F26" s="527">
        <v>0</v>
      </c>
      <c r="G26" s="527">
        <v>-0.05</v>
      </c>
      <c r="H26" s="528">
        <v>0</v>
      </c>
    </row>
    <row r="27" spans="1:8" ht="12.75">
      <c r="A27" s="305"/>
      <c r="B27" s="505" t="s">
        <v>77</v>
      </c>
      <c r="C27" s="213" t="s">
        <v>340</v>
      </c>
      <c r="D27" s="229" t="s">
        <v>340</v>
      </c>
      <c r="E27" s="229" t="s">
        <v>340</v>
      </c>
      <c r="F27" s="229" t="s">
        <v>340</v>
      </c>
      <c r="G27" s="229" t="s">
        <v>340</v>
      </c>
      <c r="H27" s="332" t="s">
        <v>340</v>
      </c>
    </row>
    <row r="28" spans="1:8" ht="30" customHeight="1">
      <c r="A28" s="305"/>
      <c r="B28" s="505" t="s">
        <v>373</v>
      </c>
      <c r="C28" s="507">
        <v>1</v>
      </c>
      <c r="D28" s="214">
        <v>0.9</v>
      </c>
      <c r="E28" s="214">
        <v>0.9</v>
      </c>
      <c r="F28" s="214">
        <v>0.75</v>
      </c>
      <c r="G28" s="214">
        <v>1</v>
      </c>
      <c r="H28" s="238">
        <v>1</v>
      </c>
    </row>
    <row r="29" spans="1:8" s="29" customFormat="1" ht="12.75">
      <c r="A29" s="305"/>
      <c r="B29" s="505" t="s">
        <v>5</v>
      </c>
      <c r="C29" s="426"/>
      <c r="D29" s="527">
        <v>0.05</v>
      </c>
      <c r="E29" s="527">
        <v>0.05</v>
      </c>
      <c r="F29" s="527">
        <v>0.1</v>
      </c>
      <c r="G29" s="527">
        <v>0</v>
      </c>
      <c r="H29" s="528">
        <v>0</v>
      </c>
    </row>
    <row r="30" spans="1:8" s="28" customFormat="1" ht="12.75">
      <c r="A30" s="559"/>
      <c r="B30" s="505" t="s">
        <v>9</v>
      </c>
      <c r="C30" s="230" t="s">
        <v>294</v>
      </c>
      <c r="D30" s="218" t="s">
        <v>370</v>
      </c>
      <c r="E30" s="218" t="s">
        <v>371</v>
      </c>
      <c r="F30" s="218" t="s">
        <v>293</v>
      </c>
      <c r="G30" s="218" t="s">
        <v>372</v>
      </c>
      <c r="H30" s="337" t="s">
        <v>292</v>
      </c>
    </row>
    <row r="31" spans="1:8" ht="26.25" customHeight="1">
      <c r="A31" s="305"/>
      <c r="B31" s="505" t="s">
        <v>368</v>
      </c>
      <c r="C31" s="347" t="s">
        <v>437</v>
      </c>
      <c r="D31" s="349">
        <v>983</v>
      </c>
      <c r="E31" s="349">
        <v>752</v>
      </c>
      <c r="F31" s="349">
        <v>1053</v>
      </c>
      <c r="G31" s="349">
        <v>802</v>
      </c>
      <c r="H31" s="348">
        <v>501</v>
      </c>
    </row>
    <row r="32" spans="1:8" s="28" customFormat="1" ht="27.75" customHeight="1">
      <c r="A32" s="559"/>
      <c r="B32" s="505" t="s">
        <v>469</v>
      </c>
      <c r="C32" s="213" t="s">
        <v>354</v>
      </c>
      <c r="D32" s="213" t="s">
        <v>354</v>
      </c>
      <c r="E32" s="213" t="s">
        <v>354</v>
      </c>
      <c r="F32" s="213" t="s">
        <v>354</v>
      </c>
      <c r="G32" s="213" t="s">
        <v>354</v>
      </c>
      <c r="H32" s="236" t="s">
        <v>354</v>
      </c>
    </row>
    <row r="33" spans="1:8" s="29" customFormat="1" ht="12.75">
      <c r="A33" s="305"/>
      <c r="B33" s="505" t="s">
        <v>5</v>
      </c>
      <c r="C33" s="426"/>
      <c r="D33" s="527">
        <v>0</v>
      </c>
      <c r="E33" s="527">
        <v>0</v>
      </c>
      <c r="F33" s="527">
        <v>0</v>
      </c>
      <c r="G33" s="527">
        <v>0</v>
      </c>
      <c r="H33" s="528">
        <v>0</v>
      </c>
    </row>
    <row r="34" spans="1:8" ht="16.5" customHeight="1">
      <c r="A34" s="305"/>
      <c r="B34" s="505" t="s">
        <v>388</v>
      </c>
      <c r="C34" s="213" t="s">
        <v>330</v>
      </c>
      <c r="D34" s="213" t="s">
        <v>330</v>
      </c>
      <c r="E34" s="213" t="s">
        <v>330</v>
      </c>
      <c r="F34" s="213" t="s">
        <v>330</v>
      </c>
      <c r="G34" s="213" t="s">
        <v>330</v>
      </c>
      <c r="H34" s="236" t="s">
        <v>330</v>
      </c>
    </row>
    <row r="35" spans="1:8" s="29" customFormat="1" ht="12.75">
      <c r="A35" s="305"/>
      <c r="B35" s="505" t="s">
        <v>5</v>
      </c>
      <c r="C35" s="426"/>
      <c r="D35" s="527">
        <v>0</v>
      </c>
      <c r="E35" s="527">
        <v>0</v>
      </c>
      <c r="F35" s="527">
        <v>0</v>
      </c>
      <c r="G35" s="527">
        <v>0</v>
      </c>
      <c r="H35" s="528">
        <v>0</v>
      </c>
    </row>
    <row r="36" spans="1:8" ht="15" customHeight="1">
      <c r="A36" s="305"/>
      <c r="B36" s="505" t="s">
        <v>418</v>
      </c>
      <c r="C36" s="213" t="s">
        <v>12</v>
      </c>
      <c r="D36" s="213" t="s">
        <v>12</v>
      </c>
      <c r="E36" s="213" t="s">
        <v>12</v>
      </c>
      <c r="F36" s="213" t="s">
        <v>12</v>
      </c>
      <c r="G36" s="213" t="s">
        <v>337</v>
      </c>
      <c r="H36" s="236" t="s">
        <v>12</v>
      </c>
    </row>
    <row r="37" spans="1:8" s="29" customFormat="1" ht="12.75">
      <c r="A37" s="305"/>
      <c r="B37" s="505" t="s">
        <v>5</v>
      </c>
      <c r="C37" s="560" t="s">
        <v>36</v>
      </c>
      <c r="D37" s="249">
        <v>0</v>
      </c>
      <c r="E37" s="249">
        <v>0</v>
      </c>
      <c r="F37" s="249">
        <v>0</v>
      </c>
      <c r="G37" s="249">
        <v>-200</v>
      </c>
      <c r="H37" s="333">
        <v>0</v>
      </c>
    </row>
    <row r="38" spans="1:9" s="29" customFormat="1" ht="12.75">
      <c r="A38" s="305"/>
      <c r="B38" s="505" t="s">
        <v>5</v>
      </c>
      <c r="C38" s="426"/>
      <c r="D38" s="555">
        <f>D37/D22</f>
        <v>0</v>
      </c>
      <c r="E38" s="561">
        <f>E37/E22</f>
        <v>0</v>
      </c>
      <c r="F38" s="555">
        <f>F37/F22</f>
        <v>0</v>
      </c>
      <c r="G38" s="555">
        <f>G37/G22</f>
        <v>-0.04576659038901602</v>
      </c>
      <c r="H38" s="555">
        <f>H37/H22</f>
        <v>0</v>
      </c>
      <c r="I38" s="529"/>
    </row>
    <row r="39" spans="1:8" ht="30.75" customHeight="1">
      <c r="A39" s="305"/>
      <c r="B39" s="505" t="s">
        <v>73</v>
      </c>
      <c r="C39" s="557" t="s">
        <v>36</v>
      </c>
      <c r="D39" s="508">
        <f>D22*(1+D24)*(1+D26)*(1+D29)*(1+D33)*(1+D35)*(1+D38)</f>
        <v>3959.464484938639</v>
      </c>
      <c r="E39" s="508">
        <f>E22*(1+E24)*(1+E26)*(1+E29)*(1+E33)*(1+E35)*(1+E38)</f>
        <v>4289.25</v>
      </c>
      <c r="F39" s="508">
        <f>F22*(1+F24)*(1+F26)*(1+F29)*(1+F33)*(1+F35)*(1+F38)</f>
        <v>4086.6493120119003</v>
      </c>
      <c r="G39" s="508">
        <f>G22*(1+G24)*(1+G26)*(1+G29)*(1+G33)*(1+G35)*(1+G38)</f>
        <v>3961.5</v>
      </c>
      <c r="H39" s="508">
        <f>H22*(1+H24)*(1+H26)*(1+H29)*(1+H33)*(1+H35)*(1+H38)</f>
        <v>3800</v>
      </c>
    </row>
    <row r="40" spans="1:9" ht="12.75">
      <c r="A40" s="305"/>
      <c r="B40" s="505" t="s">
        <v>431</v>
      </c>
      <c r="C40" s="547"/>
      <c r="D40" s="562">
        <f>ABS(D9)+ABS(D12)+ABS(D15)+ABS(D18)+ABS(D21)+ABS(D24)+ABS(D26)+ABS(D29)+ABS(D33)+ABS(D35)+ABS(D38)</f>
        <v>0.11779178328864184</v>
      </c>
      <c r="E40" s="562">
        <f>ABS(E9)+ABS(E12)+ABS(E15)+ABS(E18)+ABS(E21)+ABS(E24)+ABS(E26)+ABS(E29)+ABS(E33)+ABS(E35)+ABS(E38)</f>
        <v>0.1</v>
      </c>
      <c r="F40" s="562">
        <f>ABS(F9)+ABS(F12)+ABS(F15)+ABS(F18)+ABS(F21)+ABS(F24)+ABS(F26)+ABS(F29)+ABS(F33)+ABS(F35)+ABS(F38)</f>
        <v>0.20693762110743574</v>
      </c>
      <c r="G40" s="562">
        <f>ABS(G9)+ABS(G12)+ABS(G15)+ABS(G18)+ABS(G21)+ABS(G24)+ABS(G26)+ABS(G29)+ABS(G33)+ABS(G35)+ABS(G38)</f>
        <v>0.14576659038901602</v>
      </c>
      <c r="H40" s="562">
        <f>ABS(H9)+ABS(H12)+ABS(H15)+ABS(H18)+ABS(H21)+ABS(H24)+ABS(H26)+ABS(H29)+ABS(H33)+ABS(H35)+ABS(H38)</f>
        <v>0.05</v>
      </c>
      <c r="I40" s="518"/>
    </row>
    <row r="41" spans="1:9" ht="12.75">
      <c r="A41" s="305"/>
      <c r="B41" s="505" t="s">
        <v>433</v>
      </c>
      <c r="C41" s="563"/>
      <c r="D41" s="530">
        <f>IF($C42&gt;0.15,0,ROUND((1-D40/SUM($D40:$H40))/4,2))</f>
        <v>0.2</v>
      </c>
      <c r="E41" s="530">
        <f>IF($C42&gt;0.15,0,ROUND((1-E40/SUM($D40:$H40))/4,2))</f>
        <v>0.21</v>
      </c>
      <c r="F41" s="530">
        <f>IF($C42&gt;0.15,0,ROUND((1-F40/SUM($D40:$H40))/4,2))</f>
        <v>0.17</v>
      </c>
      <c r="G41" s="530">
        <f>IF($C42&gt;0.15,0,ROUND((1-G40/SUM($D40:$H40))/4,2))</f>
        <v>0.19</v>
      </c>
      <c r="H41" s="530">
        <f>IF($C42&gt;0.15,0,ROUND(1-SUM(D41:G41),2))</f>
        <v>0.23</v>
      </c>
      <c r="I41" s="519"/>
    </row>
    <row r="42" spans="1:8" ht="12.75">
      <c r="A42" s="305"/>
      <c r="B42" s="505" t="s">
        <v>414</v>
      </c>
      <c r="C42" s="768">
        <f>STDEV(D39:H39)/AVERAGE(D39:H39)</f>
        <v>0.04526814010635683</v>
      </c>
      <c r="D42" s="769"/>
      <c r="E42" s="765" t="str">
        <f>IF(C42&lt;=0.05,"Величина коэффициента вариации соответствует требуемому значению - до 15 %",IF(C42&lt;=0.15,"Величина коэффициента вариации удовлетворяет требуемому значению - до15%",IF(C42&gt;0.15,"Величина коэффициента вариации выше требуемого значения - до 15%")))</f>
        <v>Величина коэффициента вариации соответствует требуемому значению - до 15 %</v>
      </c>
      <c r="F42" s="766"/>
      <c r="G42" s="766"/>
      <c r="H42" s="767"/>
    </row>
    <row r="43" spans="1:8" ht="27.75" customHeight="1">
      <c r="A43" s="305"/>
      <c r="B43" s="505" t="s">
        <v>74</v>
      </c>
      <c r="C43" s="758">
        <f>ROUND((D39*D41+E39*E41+F39*F41+G39*G41+H39*H41),-1)</f>
        <v>4010</v>
      </c>
      <c r="D43" s="758"/>
      <c r="E43" s="758"/>
      <c r="F43" s="758"/>
      <c r="G43" s="758"/>
      <c r="H43" s="759"/>
    </row>
    <row r="44" spans="1:8" ht="13.5" thickBot="1">
      <c r="A44" s="305"/>
      <c r="B44" s="564" t="s">
        <v>47</v>
      </c>
      <c r="C44" s="760">
        <f>C43*'Исходные данные'!E11</f>
        <v>180450000</v>
      </c>
      <c r="D44" s="761"/>
      <c r="E44" s="761"/>
      <c r="F44" s="761"/>
      <c r="G44" s="761"/>
      <c r="H44" s="762"/>
    </row>
    <row r="45" spans="2:7" ht="12.75">
      <c r="B45" s="9"/>
      <c r="C45" s="8"/>
      <c r="D45" s="526"/>
      <c r="G45" s="31"/>
    </row>
    <row r="46" spans="2:3" ht="12.75">
      <c r="B46" s="9"/>
      <c r="C46" s="494"/>
    </row>
    <row r="47" spans="2:6" ht="12.75">
      <c r="B47" s="9"/>
      <c r="C47" s="8"/>
      <c r="F47" s="34"/>
    </row>
    <row r="48" spans="2:3" ht="12.75">
      <c r="B48" s="9"/>
      <c r="C48" s="6"/>
    </row>
    <row r="49" spans="2:3" ht="12.75">
      <c r="B49" s="9"/>
      <c r="C49" s="8"/>
    </row>
    <row r="50" spans="2:3" ht="12.75">
      <c r="B50" s="9"/>
      <c r="C50" s="6"/>
    </row>
    <row r="51" spans="2:3" ht="12.75">
      <c r="B51" s="9"/>
      <c r="C51" s="8"/>
    </row>
    <row r="52" spans="2:3" ht="12.75">
      <c r="B52" s="9"/>
      <c r="C52" s="6"/>
    </row>
    <row r="53" spans="2:3" ht="12.75">
      <c r="B53" s="25"/>
      <c r="C53" s="27"/>
    </row>
    <row r="54" spans="2:3" ht="12.75">
      <c r="B54" s="9"/>
      <c r="C54" s="6"/>
    </row>
    <row r="55" spans="2:3" ht="12.75">
      <c r="B55" s="9"/>
      <c r="C55" s="6"/>
    </row>
    <row r="56" spans="2:3" ht="12.75">
      <c r="B56" s="9"/>
      <c r="C56" s="6"/>
    </row>
    <row r="57" spans="2:3" ht="12.75">
      <c r="B57" s="26"/>
      <c r="C57" s="3"/>
    </row>
    <row r="58" spans="2:3" ht="12.75">
      <c r="B58" s="5"/>
      <c r="C58" s="6"/>
    </row>
    <row r="59" spans="2:5" ht="12.75">
      <c r="B59" s="4"/>
      <c r="C59" s="6"/>
      <c r="D59" s="6"/>
      <c r="E59" s="6"/>
    </row>
    <row r="60" spans="2:5" ht="12.75">
      <c r="B60" s="6"/>
      <c r="C60" s="6"/>
      <c r="D60" s="6"/>
      <c r="E60" s="6"/>
    </row>
    <row r="61" spans="2:5" ht="12.75">
      <c r="B61" s="6"/>
      <c r="C61" s="6"/>
      <c r="D61" s="6"/>
      <c r="E61" s="6"/>
    </row>
    <row r="62" spans="2:5" ht="12.75">
      <c r="B62" s="6"/>
      <c r="C62" s="6"/>
      <c r="D62" s="6"/>
      <c r="E62" s="6"/>
    </row>
    <row r="63" spans="2:5" ht="12.75">
      <c r="B63" s="6"/>
      <c r="C63" s="6"/>
      <c r="D63" s="6"/>
      <c r="E63" s="6"/>
    </row>
    <row r="64" spans="2:5" ht="12.75">
      <c r="B64" s="6"/>
      <c r="C64" s="6"/>
      <c r="D64" s="6"/>
      <c r="E64" s="6"/>
    </row>
    <row r="65" spans="2:5" ht="12.75">
      <c r="B65" s="6"/>
      <c r="C65" s="6"/>
      <c r="D65" s="6"/>
      <c r="E65" s="6"/>
    </row>
    <row r="66" spans="2:5" ht="12.75">
      <c r="B66" s="6"/>
      <c r="C66" s="6"/>
      <c r="D66" s="6"/>
      <c r="E66" s="6"/>
    </row>
    <row r="67" spans="2:5" ht="12.75">
      <c r="B67" s="6"/>
      <c r="C67" s="6"/>
      <c r="D67" s="6"/>
      <c r="E67" s="6"/>
    </row>
    <row r="68" spans="2:5" ht="12.75">
      <c r="B68" s="6"/>
      <c r="C68" s="6"/>
      <c r="D68" s="6"/>
      <c r="E68" s="6"/>
    </row>
    <row r="69" spans="2:5" ht="12.75">
      <c r="B69" s="6"/>
      <c r="C69" s="6"/>
      <c r="D69" s="6"/>
      <c r="E69" s="6"/>
    </row>
    <row r="70" spans="2:5" ht="12.75">
      <c r="B70" s="6"/>
      <c r="C70" s="6"/>
      <c r="D70" s="6"/>
      <c r="E70" s="6"/>
    </row>
    <row r="71" spans="2:5" ht="12.75">
      <c r="B71" s="6"/>
      <c r="C71" s="6"/>
      <c r="D71" s="6"/>
      <c r="E71" s="6"/>
    </row>
    <row r="72" spans="2:5" ht="12.75">
      <c r="B72" s="6"/>
      <c r="C72" s="6"/>
      <c r="D72" s="6"/>
      <c r="E72" s="6"/>
    </row>
    <row r="73" spans="2:5" ht="12.75">
      <c r="B73" s="6"/>
      <c r="C73" s="6"/>
      <c r="D73" s="6"/>
      <c r="E73" s="6"/>
    </row>
    <row r="74" spans="2:5" ht="12.75">
      <c r="B74" s="6"/>
      <c r="C74" s="6"/>
      <c r="D74" s="6"/>
      <c r="E74" s="6"/>
    </row>
    <row r="75" spans="2:5" ht="12.75">
      <c r="B75" s="6"/>
      <c r="C75" s="6"/>
      <c r="D75" s="6"/>
      <c r="E75" s="6"/>
    </row>
    <row r="76" spans="2:5" ht="12.75">
      <c r="B76" s="6"/>
      <c r="C76" s="6"/>
      <c r="D76" s="6"/>
      <c r="E76" s="6"/>
    </row>
    <row r="77" spans="2:5" ht="12.75">
      <c r="B77" s="6"/>
      <c r="C77" s="6"/>
      <c r="D77" s="6"/>
      <c r="E77" s="6"/>
    </row>
    <row r="78" spans="2:5" ht="12.75">
      <c r="B78" s="6"/>
      <c r="C78" s="6"/>
      <c r="D78" s="6"/>
      <c r="E78" s="6"/>
    </row>
    <row r="79" spans="2:5" ht="12.75">
      <c r="B79" s="6"/>
      <c r="C79" s="6"/>
      <c r="D79" s="6"/>
      <c r="E79" s="6"/>
    </row>
    <row r="80" spans="2:5" ht="12.75">
      <c r="B80" s="6"/>
      <c r="C80" s="6"/>
      <c r="D80" s="6"/>
      <c r="E80" s="6"/>
    </row>
    <row r="81" spans="2:5" ht="12.75">
      <c r="B81" s="6"/>
      <c r="C81" s="6"/>
      <c r="D81" s="6"/>
      <c r="E81" s="6"/>
    </row>
    <row r="82" spans="2:5" ht="12.75">
      <c r="B82" s="6"/>
      <c r="C82" s="6"/>
      <c r="D82" s="6"/>
      <c r="E82" s="6"/>
    </row>
    <row r="83" spans="2:5" ht="12.75">
      <c r="B83" s="6"/>
      <c r="C83" s="6"/>
      <c r="D83" s="6"/>
      <c r="E83" s="6"/>
    </row>
    <row r="84" spans="2:5" ht="12.75">
      <c r="B84" s="6"/>
      <c r="C84" s="6"/>
      <c r="D84" s="6"/>
      <c r="E84" s="6"/>
    </row>
    <row r="85" spans="2:5" ht="12.75">
      <c r="B85" s="6"/>
      <c r="C85" s="6"/>
      <c r="D85" s="6"/>
      <c r="E85" s="6"/>
    </row>
    <row r="86" spans="2:5" ht="12.75">
      <c r="B86" s="6"/>
      <c r="C86" s="6"/>
      <c r="D86" s="6"/>
      <c r="E86" s="6"/>
    </row>
    <row r="87" spans="2:5" ht="12.75">
      <c r="B87" s="6"/>
      <c r="C87" s="6"/>
      <c r="D87" s="6"/>
      <c r="E87" s="6"/>
    </row>
    <row r="88" spans="2:5" ht="12.75">
      <c r="B88" s="6"/>
      <c r="C88" s="6"/>
      <c r="D88" s="6"/>
      <c r="E88" s="6"/>
    </row>
    <row r="89" spans="2:5" ht="12.75">
      <c r="B89" s="6"/>
      <c r="C89" s="6"/>
      <c r="D89" s="6"/>
      <c r="E89" s="6"/>
    </row>
    <row r="90" spans="2:5" ht="12.75">
      <c r="B90" s="6"/>
      <c r="C90" s="6"/>
      <c r="D90" s="6"/>
      <c r="E90" s="6"/>
    </row>
    <row r="91" spans="2:5" ht="12.75">
      <c r="B91" s="6"/>
      <c r="C91" s="6"/>
      <c r="D91" s="6"/>
      <c r="E91" s="6"/>
    </row>
    <row r="92" spans="2:5" ht="12.75">
      <c r="B92" s="6"/>
      <c r="C92" s="6"/>
      <c r="D92" s="6"/>
      <c r="E92" s="6"/>
    </row>
    <row r="93" spans="2:5" ht="12.75">
      <c r="B93" s="6"/>
      <c r="C93" s="6"/>
      <c r="D93" s="6"/>
      <c r="E93" s="6"/>
    </row>
    <row r="94" spans="2:5" ht="12.75">
      <c r="B94" s="6"/>
      <c r="C94" s="6"/>
      <c r="D94" s="6"/>
      <c r="E94" s="6"/>
    </row>
    <row r="95" spans="2:5" ht="12.75">
      <c r="B95" s="6"/>
      <c r="C95" s="6"/>
      <c r="D95" s="6"/>
      <c r="E95" s="6"/>
    </row>
    <row r="96" spans="2:5" ht="12.75">
      <c r="B96" s="6"/>
      <c r="C96" s="6"/>
      <c r="D96" s="6"/>
      <c r="E96" s="6"/>
    </row>
    <row r="97" spans="2:5" ht="12.75">
      <c r="B97" s="6"/>
      <c r="C97" s="6"/>
      <c r="D97" s="6"/>
      <c r="E97" s="6"/>
    </row>
    <row r="98" spans="2:5" ht="12.75">
      <c r="B98" s="6"/>
      <c r="C98" s="6"/>
      <c r="D98" s="6"/>
      <c r="E98" s="6"/>
    </row>
    <row r="99" spans="2:5" ht="12.75">
      <c r="B99" s="6"/>
      <c r="C99" s="6"/>
      <c r="D99" s="6"/>
      <c r="E99" s="6"/>
    </row>
    <row r="100" spans="2:5" ht="12.75">
      <c r="B100" s="6"/>
      <c r="C100" s="6"/>
      <c r="D100" s="6"/>
      <c r="E100" s="6"/>
    </row>
    <row r="101" spans="2:5" ht="12.75">
      <c r="B101" s="6"/>
      <c r="C101" s="6"/>
      <c r="D101" s="6"/>
      <c r="E101" s="6"/>
    </row>
    <row r="102" spans="2:5" ht="12.75">
      <c r="B102" s="6"/>
      <c r="C102" s="6"/>
      <c r="D102" s="6"/>
      <c r="E102" s="6"/>
    </row>
    <row r="103" spans="2:5" ht="12.75">
      <c r="B103" s="6"/>
      <c r="C103" s="6"/>
      <c r="D103" s="6"/>
      <c r="E103" s="6"/>
    </row>
    <row r="104" spans="2:5" ht="12.75">
      <c r="B104" s="6"/>
      <c r="C104" s="6"/>
      <c r="D104" s="6"/>
      <c r="E104" s="6"/>
    </row>
    <row r="105" spans="2:5" ht="12.75">
      <c r="B105" s="6"/>
      <c r="C105" s="6"/>
      <c r="D105" s="6"/>
      <c r="E105" s="6"/>
    </row>
    <row r="106" spans="2:5" ht="12.75">
      <c r="B106" s="6"/>
      <c r="C106" s="6"/>
      <c r="D106" s="6"/>
      <c r="E106" s="6"/>
    </row>
    <row r="107" spans="2:5" ht="12.75">
      <c r="B107" s="6"/>
      <c r="C107" s="6"/>
      <c r="D107" s="6"/>
      <c r="E107" s="6"/>
    </row>
    <row r="108" spans="2:5" ht="12.75">
      <c r="B108" s="6"/>
      <c r="C108" s="6"/>
      <c r="D108" s="6"/>
      <c r="E108" s="6"/>
    </row>
    <row r="109" spans="2:5" ht="12.75">
      <c r="B109" s="6"/>
      <c r="C109" s="6"/>
      <c r="D109" s="6"/>
      <c r="E109" s="6"/>
    </row>
    <row r="110" spans="2:5" ht="12.75">
      <c r="B110" s="6"/>
      <c r="C110" s="6"/>
      <c r="D110" s="6"/>
      <c r="E110" s="6"/>
    </row>
    <row r="111" spans="2:5" ht="12.75">
      <c r="B111" s="6"/>
      <c r="C111" s="6"/>
      <c r="D111" s="6"/>
      <c r="E111" s="6"/>
    </row>
    <row r="112" spans="2:5" ht="12.75">
      <c r="B112" s="6"/>
      <c r="C112" s="6"/>
      <c r="D112" s="6"/>
      <c r="E112" s="6"/>
    </row>
    <row r="113" spans="2:5" ht="12.75">
      <c r="B113" s="6"/>
      <c r="C113" s="6"/>
      <c r="D113" s="6"/>
      <c r="E113" s="6"/>
    </row>
    <row r="114" spans="2:5" ht="12.75">
      <c r="B114" s="6"/>
      <c r="C114" s="6"/>
      <c r="D114" s="6"/>
      <c r="E114" s="6"/>
    </row>
    <row r="115" spans="2:5" ht="12.75">
      <c r="B115" s="6"/>
      <c r="C115" s="6"/>
      <c r="D115" s="6"/>
      <c r="E115" s="6"/>
    </row>
    <row r="116" spans="2:5" ht="12.75">
      <c r="B116" s="6"/>
      <c r="C116" s="6"/>
      <c r="D116" s="6"/>
      <c r="E116" s="6"/>
    </row>
    <row r="117" spans="2:5" ht="12.75">
      <c r="B117" s="6"/>
      <c r="C117" s="6"/>
      <c r="D117" s="6"/>
      <c r="E117" s="6"/>
    </row>
    <row r="118" spans="2:5" ht="12.75">
      <c r="B118" s="6"/>
      <c r="C118" s="6"/>
      <c r="D118" s="6"/>
      <c r="E118" s="6"/>
    </row>
    <row r="119" spans="2:5" ht="12.75">
      <c r="B119" s="6"/>
      <c r="C119" s="6"/>
      <c r="D119" s="6"/>
      <c r="E119" s="6"/>
    </row>
    <row r="120" spans="2:5" ht="12.75">
      <c r="B120" s="6"/>
      <c r="C120" s="6"/>
      <c r="D120" s="6"/>
      <c r="E120" s="6"/>
    </row>
    <row r="121" spans="2:5" ht="12.75">
      <c r="B121" s="6"/>
      <c r="C121" s="6"/>
      <c r="D121" s="6"/>
      <c r="E121" s="6"/>
    </row>
    <row r="122" spans="2:5" ht="12.75">
      <c r="B122" s="6"/>
      <c r="C122" s="6"/>
      <c r="D122" s="6"/>
      <c r="E122" s="6"/>
    </row>
    <row r="123" spans="2:5" ht="12.75">
      <c r="B123" s="6"/>
      <c r="C123" s="6"/>
      <c r="D123" s="6"/>
      <c r="E123" s="6"/>
    </row>
    <row r="124" spans="2:5" ht="12.75">
      <c r="B124" s="6"/>
      <c r="C124" s="6"/>
      <c r="D124" s="6"/>
      <c r="E124" s="6"/>
    </row>
    <row r="125" spans="2:5" ht="12.75">
      <c r="B125" s="6"/>
      <c r="C125" s="6"/>
      <c r="D125" s="6"/>
      <c r="E125" s="6"/>
    </row>
    <row r="126" spans="2:5" ht="12.75">
      <c r="B126" s="6"/>
      <c r="C126" s="6"/>
      <c r="D126" s="6"/>
      <c r="E126" s="6"/>
    </row>
    <row r="127" spans="2:5" ht="12.75">
      <c r="B127" s="6"/>
      <c r="C127" s="6"/>
      <c r="D127" s="6"/>
      <c r="E127" s="6"/>
    </row>
    <row r="128" spans="2:5" ht="12.75">
      <c r="B128" s="6"/>
      <c r="C128" s="6"/>
      <c r="D128" s="6"/>
      <c r="E128" s="6"/>
    </row>
    <row r="129" spans="2:5" ht="12.75">
      <c r="B129" s="6"/>
      <c r="C129" s="6"/>
      <c r="D129" s="6"/>
      <c r="E129" s="6"/>
    </row>
    <row r="130" spans="2:5" ht="12.75">
      <c r="B130" s="6"/>
      <c r="C130" s="6"/>
      <c r="D130" s="6"/>
      <c r="E130" s="6"/>
    </row>
    <row r="131" spans="2:5" ht="12.75">
      <c r="B131" s="6"/>
      <c r="C131" s="6"/>
      <c r="D131" s="6"/>
      <c r="E131" s="6"/>
    </row>
    <row r="132" spans="2:5" ht="12.75">
      <c r="B132" s="6"/>
      <c r="C132" s="6"/>
      <c r="D132" s="6"/>
      <c r="E132" s="6"/>
    </row>
    <row r="133" spans="2:5" ht="12.75">
      <c r="B133" s="6"/>
      <c r="C133" s="6"/>
      <c r="D133" s="6"/>
      <c r="E133" s="6"/>
    </row>
    <row r="134" spans="2:5" ht="12.75">
      <c r="B134" s="6"/>
      <c r="C134" s="6"/>
      <c r="D134" s="6"/>
      <c r="E134" s="6"/>
    </row>
    <row r="135" spans="2:5" ht="12.75">
      <c r="B135" s="6"/>
      <c r="C135" s="6"/>
      <c r="D135" s="6"/>
      <c r="E135" s="6"/>
    </row>
    <row r="136" spans="2:5" ht="12.75">
      <c r="B136" s="6"/>
      <c r="C136" s="6"/>
      <c r="D136" s="6"/>
      <c r="E136" s="6"/>
    </row>
    <row r="137" spans="2:5" ht="12.75">
      <c r="B137" s="6"/>
      <c r="C137" s="6"/>
      <c r="D137" s="6"/>
      <c r="E137" s="6"/>
    </row>
    <row r="138" spans="2:5" ht="12.75">
      <c r="B138" s="6"/>
      <c r="C138" s="6"/>
      <c r="D138" s="6"/>
      <c r="E138" s="6"/>
    </row>
    <row r="139" spans="2:5" ht="12.75">
      <c r="B139" s="6"/>
      <c r="C139" s="6"/>
      <c r="D139" s="6"/>
      <c r="E139" s="6"/>
    </row>
    <row r="140" spans="2:5" ht="12.75">
      <c r="B140" s="6"/>
      <c r="C140" s="6"/>
      <c r="D140" s="6"/>
      <c r="E140" s="6"/>
    </row>
    <row r="141" spans="2:5" ht="12.75">
      <c r="B141" s="6"/>
      <c r="C141" s="6"/>
      <c r="D141" s="6"/>
      <c r="E141" s="6"/>
    </row>
    <row r="142" spans="2:5" ht="12.75">
      <c r="B142" s="6"/>
      <c r="C142" s="6"/>
      <c r="D142" s="6"/>
      <c r="E142" s="6"/>
    </row>
    <row r="143" spans="2:5" ht="12.75">
      <c r="B143" s="6"/>
      <c r="C143" s="6"/>
      <c r="D143" s="6"/>
      <c r="E143" s="6"/>
    </row>
    <row r="144" spans="2:5" ht="12.75">
      <c r="B144" s="6"/>
      <c r="C144" s="6"/>
      <c r="D144" s="6"/>
      <c r="E144" s="6"/>
    </row>
    <row r="145" spans="2:5" ht="12.75">
      <c r="B145" s="6"/>
      <c r="C145" s="6"/>
      <c r="D145" s="6"/>
      <c r="E145" s="6"/>
    </row>
    <row r="146" spans="2:5" ht="12.75">
      <c r="B146" s="6"/>
      <c r="C146" s="6"/>
      <c r="D146" s="6"/>
      <c r="E146" s="6"/>
    </row>
    <row r="147" spans="2:5" ht="12.75">
      <c r="B147" s="6"/>
      <c r="C147" s="6"/>
      <c r="D147" s="6"/>
      <c r="E147" s="6"/>
    </row>
    <row r="148" spans="2:5" ht="12.75">
      <c r="B148" s="6"/>
      <c r="C148" s="6"/>
      <c r="D148" s="6"/>
      <c r="E148" s="6"/>
    </row>
    <row r="149" spans="2:5" ht="12.75">
      <c r="B149" s="6"/>
      <c r="C149" s="6"/>
      <c r="D149" s="6"/>
      <c r="E149" s="6"/>
    </row>
    <row r="150" spans="2:5" ht="12.75">
      <c r="B150" s="6"/>
      <c r="C150" s="6"/>
      <c r="D150" s="6"/>
      <c r="E150" s="6"/>
    </row>
    <row r="151" spans="2:5" ht="12.75">
      <c r="B151" s="6"/>
      <c r="C151" s="6"/>
      <c r="D151" s="6"/>
      <c r="E151" s="6"/>
    </row>
    <row r="152" spans="2:5" ht="12.75">
      <c r="B152" s="6"/>
      <c r="C152" s="6"/>
      <c r="D152" s="6"/>
      <c r="E152" s="6"/>
    </row>
    <row r="153" spans="2:5" ht="12.75">
      <c r="B153" s="6"/>
      <c r="C153" s="6"/>
      <c r="D153" s="6"/>
      <c r="E153" s="6"/>
    </row>
    <row r="154" spans="2:5" ht="12.75">
      <c r="B154" s="6"/>
      <c r="C154" s="6"/>
      <c r="D154" s="6"/>
      <c r="E154" s="6"/>
    </row>
    <row r="155" spans="2:5" ht="12.75">
      <c r="B155" s="6"/>
      <c r="C155" s="6"/>
      <c r="D155" s="6"/>
      <c r="E155" s="6"/>
    </row>
    <row r="156" spans="2:5" ht="12.75">
      <c r="B156" s="6"/>
      <c r="C156" s="6"/>
      <c r="D156" s="6"/>
      <c r="E156" s="6"/>
    </row>
    <row r="157" spans="2:5" ht="12.75">
      <c r="B157" s="6"/>
      <c r="C157" s="6"/>
      <c r="D157" s="6"/>
      <c r="E157" s="6"/>
    </row>
    <row r="158" spans="2:5" ht="12.75">
      <c r="B158" s="6"/>
      <c r="C158" s="6"/>
      <c r="D158" s="6"/>
      <c r="E158" s="6"/>
    </row>
    <row r="159" spans="2:5" ht="12.75">
      <c r="B159" s="6"/>
      <c r="C159" s="6"/>
      <c r="D159" s="6"/>
      <c r="E159" s="6"/>
    </row>
    <row r="160" spans="2:5" ht="12.75">
      <c r="B160" s="6"/>
      <c r="C160" s="6"/>
      <c r="D160" s="6"/>
      <c r="E160" s="6"/>
    </row>
    <row r="161" spans="2:5" ht="12.75">
      <c r="B161" s="6"/>
      <c r="C161" s="6"/>
      <c r="D161" s="6"/>
      <c r="E161" s="6"/>
    </row>
    <row r="162" spans="2:5" ht="12.75">
      <c r="B162" s="6"/>
      <c r="C162" s="6"/>
      <c r="D162" s="6"/>
      <c r="E162" s="6"/>
    </row>
    <row r="163" spans="2:5" ht="12.75">
      <c r="B163" s="6"/>
      <c r="C163" s="6"/>
      <c r="D163" s="6"/>
      <c r="E163" s="6"/>
    </row>
    <row r="164" spans="2:5" ht="12.75">
      <c r="B164" s="6"/>
      <c r="C164" s="6"/>
      <c r="D164" s="6"/>
      <c r="E164" s="6"/>
    </row>
    <row r="165" spans="2:5" ht="12.75">
      <c r="B165" s="6"/>
      <c r="C165" s="6"/>
      <c r="D165" s="6"/>
      <c r="E165" s="6"/>
    </row>
    <row r="166" spans="2:5" ht="12.75">
      <c r="B166" s="6"/>
      <c r="C166" s="6"/>
      <c r="D166" s="6"/>
      <c r="E166" s="6"/>
    </row>
    <row r="167" spans="2:5" ht="12.75">
      <c r="B167" s="6"/>
      <c r="C167" s="6"/>
      <c r="D167" s="6"/>
      <c r="E167" s="6"/>
    </row>
    <row r="168" spans="2:5" ht="12.75">
      <c r="B168" s="6"/>
      <c r="C168" s="6"/>
      <c r="D168" s="6"/>
      <c r="E168" s="6"/>
    </row>
    <row r="169" spans="2:5" ht="12.75">
      <c r="B169" s="6"/>
      <c r="C169" s="6"/>
      <c r="D169" s="6"/>
      <c r="E169" s="6"/>
    </row>
    <row r="170" spans="2:5" ht="12.75">
      <c r="B170" s="6"/>
      <c r="C170" s="6"/>
      <c r="D170" s="6"/>
      <c r="E170" s="6"/>
    </row>
    <row r="171" spans="2:5" ht="12.75">
      <c r="B171" s="6"/>
      <c r="C171" s="6"/>
      <c r="D171" s="6"/>
      <c r="E171" s="6"/>
    </row>
    <row r="172" spans="2:5" ht="12.75">
      <c r="B172" s="6"/>
      <c r="C172" s="6"/>
      <c r="D172" s="6"/>
      <c r="E172" s="6"/>
    </row>
    <row r="173" spans="2:5" ht="12.75">
      <c r="B173" s="6"/>
      <c r="C173" s="6"/>
      <c r="D173" s="6"/>
      <c r="E173" s="6"/>
    </row>
    <row r="174" spans="2:5" ht="12.75">
      <c r="B174" s="6"/>
      <c r="C174" s="6"/>
      <c r="D174" s="6"/>
      <c r="E174" s="6"/>
    </row>
    <row r="175" spans="2:5" ht="12.75">
      <c r="B175" s="6"/>
      <c r="C175" s="6"/>
      <c r="D175" s="6"/>
      <c r="E175" s="6"/>
    </row>
    <row r="176" spans="2:5" ht="12.75">
      <c r="B176" s="6"/>
      <c r="C176" s="6"/>
      <c r="D176" s="6"/>
      <c r="E176" s="6"/>
    </row>
    <row r="177" spans="2:5" ht="12.75">
      <c r="B177" s="6"/>
      <c r="C177" s="6"/>
      <c r="D177" s="6"/>
      <c r="E177" s="6"/>
    </row>
    <row r="178" spans="2:5" ht="12.75">
      <c r="B178" s="6"/>
      <c r="C178" s="6"/>
      <c r="D178" s="6"/>
      <c r="E178" s="6"/>
    </row>
    <row r="179" spans="2:5" ht="12.75">
      <c r="B179" s="6"/>
      <c r="C179" s="6"/>
      <c r="D179" s="6"/>
      <c r="E179" s="6"/>
    </row>
    <row r="180" spans="2:5" ht="12.75">
      <c r="B180" s="6"/>
      <c r="C180" s="6"/>
      <c r="D180" s="6"/>
      <c r="E180" s="6"/>
    </row>
    <row r="181" spans="2:5" ht="12.75">
      <c r="B181" s="6"/>
      <c r="C181" s="6"/>
      <c r="D181" s="6"/>
      <c r="E181" s="6"/>
    </row>
    <row r="182" spans="2:5" ht="12.75">
      <c r="B182" s="6"/>
      <c r="C182" s="6"/>
      <c r="D182" s="6"/>
      <c r="E182" s="6"/>
    </row>
    <row r="183" spans="2:5" ht="12.75">
      <c r="B183" s="6"/>
      <c r="C183" s="6"/>
      <c r="D183" s="6"/>
      <c r="E183" s="6"/>
    </row>
    <row r="184" spans="2:5" ht="12.75">
      <c r="B184" s="6"/>
      <c r="C184" s="6"/>
      <c r="D184" s="6"/>
      <c r="E184" s="6"/>
    </row>
    <row r="185" spans="2:5" ht="12.75">
      <c r="B185" s="6"/>
      <c r="C185" s="6"/>
      <c r="D185" s="6"/>
      <c r="E185" s="6"/>
    </row>
    <row r="186" spans="2:5" ht="12.75">
      <c r="B186" s="6"/>
      <c r="C186" s="6"/>
      <c r="D186" s="6"/>
      <c r="E186" s="6"/>
    </row>
    <row r="187" spans="2:5" ht="12.75">
      <c r="B187" s="6"/>
      <c r="C187" s="6"/>
      <c r="D187" s="6"/>
      <c r="E187" s="6"/>
    </row>
    <row r="188" spans="2:5" ht="12.75">
      <c r="B188" s="6"/>
      <c r="C188" s="6"/>
      <c r="D188" s="6"/>
      <c r="E188" s="6"/>
    </row>
    <row r="189" spans="2:5" ht="12.75">
      <c r="B189" s="6"/>
      <c r="C189" s="6"/>
      <c r="D189" s="6"/>
      <c r="E189" s="6"/>
    </row>
    <row r="190" spans="2:5" ht="12.75">
      <c r="B190" s="6"/>
      <c r="C190" s="6"/>
      <c r="D190" s="6"/>
      <c r="E190" s="6"/>
    </row>
    <row r="191" spans="2:5" ht="12.75">
      <c r="B191" s="6"/>
      <c r="C191" s="6"/>
      <c r="D191" s="6"/>
      <c r="E191" s="6"/>
    </row>
    <row r="192" spans="2:5" ht="12.75">
      <c r="B192" s="6"/>
      <c r="C192" s="6"/>
      <c r="D192" s="6"/>
      <c r="E192" s="6"/>
    </row>
    <row r="193" spans="2:5" ht="12.75">
      <c r="B193" s="6"/>
      <c r="C193" s="6"/>
      <c r="D193" s="6"/>
      <c r="E193" s="6"/>
    </row>
    <row r="194" spans="2:5" ht="12.75">
      <c r="B194" s="6"/>
      <c r="C194" s="6"/>
      <c r="D194" s="6"/>
      <c r="E194" s="6"/>
    </row>
    <row r="195" spans="2:5" ht="12.75">
      <c r="B195" s="6"/>
      <c r="C195" s="6"/>
      <c r="D195" s="6"/>
      <c r="E195" s="6"/>
    </row>
    <row r="196" spans="2:5" ht="12.75">
      <c r="B196" s="6"/>
      <c r="C196" s="6"/>
      <c r="D196" s="6"/>
      <c r="E196" s="6"/>
    </row>
    <row r="197" spans="2:5" ht="12.75">
      <c r="B197" s="6"/>
      <c r="C197" s="6"/>
      <c r="D197" s="6"/>
      <c r="E197" s="6"/>
    </row>
    <row r="198" spans="2:5" ht="12.75">
      <c r="B198" s="6"/>
      <c r="C198" s="6"/>
      <c r="D198" s="6"/>
      <c r="E198" s="6"/>
    </row>
    <row r="199" spans="2:5" ht="12.75">
      <c r="B199" s="6"/>
      <c r="C199" s="6"/>
      <c r="D199" s="6"/>
      <c r="E199" s="6"/>
    </row>
    <row r="200" spans="2:5" ht="12.75">
      <c r="B200" s="6"/>
      <c r="C200" s="6"/>
      <c r="D200" s="6"/>
      <c r="E200" s="6"/>
    </row>
    <row r="201" spans="2:5" ht="12.75">
      <c r="B201" s="6"/>
      <c r="C201" s="6"/>
      <c r="D201" s="6"/>
      <c r="E201" s="6"/>
    </row>
    <row r="202" spans="2:5" ht="12.75">
      <c r="B202" s="6"/>
      <c r="C202" s="6"/>
      <c r="D202" s="6"/>
      <c r="E202" s="6"/>
    </row>
    <row r="203" spans="2:5" ht="12.75">
      <c r="B203" s="6"/>
      <c r="C203" s="6"/>
      <c r="D203" s="6"/>
      <c r="E203" s="6"/>
    </row>
    <row r="204" spans="2:5" ht="12.75">
      <c r="B204" s="6"/>
      <c r="C204" s="6"/>
      <c r="D204" s="6"/>
      <c r="E204" s="6"/>
    </row>
    <row r="205" spans="2:5" ht="12.75">
      <c r="B205" s="6"/>
      <c r="C205" s="6"/>
      <c r="D205" s="6"/>
      <c r="E205" s="6"/>
    </row>
    <row r="206" spans="2:5" ht="12.75">
      <c r="B206" s="6"/>
      <c r="C206" s="6"/>
      <c r="D206" s="6"/>
      <c r="E206" s="6"/>
    </row>
    <row r="207" spans="2:5" ht="12.75">
      <c r="B207" s="6"/>
      <c r="C207" s="6"/>
      <c r="D207" s="6"/>
      <c r="E207" s="6"/>
    </row>
    <row r="208" spans="2:5" ht="12.75">
      <c r="B208" s="6"/>
      <c r="C208" s="6"/>
      <c r="D208" s="6"/>
      <c r="E208" s="6"/>
    </row>
    <row r="209" spans="2:5" ht="12.75">
      <c r="B209" s="6"/>
      <c r="C209" s="6"/>
      <c r="D209" s="6"/>
      <c r="E209" s="6"/>
    </row>
    <row r="210" spans="2:5" ht="12.75">
      <c r="B210" s="6"/>
      <c r="C210" s="6"/>
      <c r="D210" s="6"/>
      <c r="E210" s="6"/>
    </row>
    <row r="211" spans="2:5" ht="12.75">
      <c r="B211" s="6"/>
      <c r="C211" s="6"/>
      <c r="D211" s="6"/>
      <c r="E211" s="6"/>
    </row>
    <row r="212" spans="2:5" ht="12.75">
      <c r="B212" s="6"/>
      <c r="C212" s="6"/>
      <c r="D212" s="6"/>
      <c r="E212" s="6"/>
    </row>
    <row r="213" spans="2:5" ht="12.75">
      <c r="B213" s="6"/>
      <c r="C213" s="6"/>
      <c r="D213" s="6"/>
      <c r="E213" s="6"/>
    </row>
    <row r="214" spans="2:5" ht="12.75">
      <c r="B214" s="6"/>
      <c r="C214" s="6"/>
      <c r="D214" s="6"/>
      <c r="E214" s="6"/>
    </row>
    <row r="215" spans="2:5" ht="12.75">
      <c r="B215" s="6"/>
      <c r="C215" s="6"/>
      <c r="D215" s="6"/>
      <c r="E215" s="6"/>
    </row>
    <row r="216" spans="2:5" ht="12.75">
      <c r="B216" s="6"/>
      <c r="C216" s="6"/>
      <c r="D216" s="6"/>
      <c r="E216" s="6"/>
    </row>
    <row r="217" spans="2:5" ht="12.75">
      <c r="B217" s="6"/>
      <c r="C217" s="6"/>
      <c r="D217" s="6"/>
      <c r="E217" s="6"/>
    </row>
    <row r="218" spans="2:5" ht="12.75">
      <c r="B218" s="6"/>
      <c r="C218" s="6"/>
      <c r="D218" s="6"/>
      <c r="E218" s="6"/>
    </row>
    <row r="219" spans="2:5" ht="12.75">
      <c r="B219" s="6"/>
      <c r="C219" s="6"/>
      <c r="D219" s="6"/>
      <c r="E219" s="6"/>
    </row>
    <row r="220" spans="2:5" ht="12.75">
      <c r="B220" s="6"/>
      <c r="C220" s="6"/>
      <c r="D220" s="6"/>
      <c r="E220" s="6"/>
    </row>
    <row r="221" spans="2:5" ht="12.75">
      <c r="B221" s="6"/>
      <c r="C221" s="6"/>
      <c r="D221" s="6"/>
      <c r="E221" s="6"/>
    </row>
    <row r="222" spans="2:5" ht="12.75">
      <c r="B222" s="6"/>
      <c r="C222" s="6"/>
      <c r="D222" s="6"/>
      <c r="E222" s="6"/>
    </row>
    <row r="223" spans="2:5" ht="12.75">
      <c r="B223" s="6"/>
      <c r="C223" s="6"/>
      <c r="D223" s="6"/>
      <c r="E223" s="6"/>
    </row>
    <row r="224" spans="2:5" ht="12.75">
      <c r="B224" s="6"/>
      <c r="C224" s="6"/>
      <c r="D224" s="6"/>
      <c r="E224" s="6"/>
    </row>
    <row r="225" spans="2:5" ht="12.75">
      <c r="B225" s="6"/>
      <c r="C225" s="6"/>
      <c r="D225" s="6"/>
      <c r="E225" s="6"/>
    </row>
    <row r="226" spans="2:5" ht="12.75">
      <c r="B226" s="6"/>
      <c r="C226" s="6"/>
      <c r="D226" s="6"/>
      <c r="E226" s="6"/>
    </row>
    <row r="227" spans="2:5" ht="12.75">
      <c r="B227" s="6"/>
      <c r="C227" s="6"/>
      <c r="D227" s="6"/>
      <c r="E227" s="6"/>
    </row>
    <row r="228" spans="2:5" ht="12.75">
      <c r="B228" s="6"/>
      <c r="C228" s="6"/>
      <c r="D228" s="6"/>
      <c r="E228" s="6"/>
    </row>
    <row r="229" spans="2:5" ht="12.75">
      <c r="B229" s="6"/>
      <c r="C229" s="6"/>
      <c r="D229" s="6"/>
      <c r="E229" s="6"/>
    </row>
    <row r="230" spans="2:5" ht="12.75">
      <c r="B230" s="6"/>
      <c r="C230" s="6"/>
      <c r="D230" s="6"/>
      <c r="E230" s="6"/>
    </row>
    <row r="231" spans="2:5" ht="12.75">
      <c r="B231" s="6"/>
      <c r="C231" s="6"/>
      <c r="D231" s="6"/>
      <c r="E231" s="6"/>
    </row>
    <row r="232" spans="2:5" ht="12.75">
      <c r="B232" s="6"/>
      <c r="C232" s="6"/>
      <c r="D232" s="6"/>
      <c r="E232" s="6"/>
    </row>
    <row r="233" spans="2:5" ht="12.75">
      <c r="B233" s="6"/>
      <c r="C233" s="6"/>
      <c r="D233" s="6"/>
      <c r="E233" s="6"/>
    </row>
    <row r="234" spans="2:5" ht="12.75">
      <c r="B234" s="6"/>
      <c r="C234" s="6"/>
      <c r="D234" s="6"/>
      <c r="E234" s="6"/>
    </row>
    <row r="235" spans="2:5" ht="12.75">
      <c r="B235" s="6"/>
      <c r="C235" s="6"/>
      <c r="D235" s="6"/>
      <c r="E235" s="6"/>
    </row>
    <row r="236" spans="2:5" ht="12.75">
      <c r="B236" s="6"/>
      <c r="C236" s="6"/>
      <c r="D236" s="6"/>
      <c r="E236" s="6"/>
    </row>
    <row r="237" spans="2:5" ht="12.75">
      <c r="B237" s="6"/>
      <c r="C237" s="6"/>
      <c r="D237" s="6"/>
      <c r="E237" s="6"/>
    </row>
    <row r="238" spans="2:5" ht="12.75">
      <c r="B238" s="6"/>
      <c r="C238" s="6"/>
      <c r="D238" s="6"/>
      <c r="E238" s="6"/>
    </row>
    <row r="239" spans="2:5" ht="12.75">
      <c r="B239" s="6"/>
      <c r="C239" s="6"/>
      <c r="D239" s="6"/>
      <c r="E239" s="6"/>
    </row>
    <row r="240" spans="2:5" ht="12.75">
      <c r="B240" s="6"/>
      <c r="C240" s="6"/>
      <c r="D240" s="6"/>
      <c r="E240" s="6"/>
    </row>
    <row r="241" spans="2:5" ht="12.75">
      <c r="B241" s="6"/>
      <c r="C241" s="6"/>
      <c r="D241" s="6"/>
      <c r="E241" s="6"/>
    </row>
    <row r="242" spans="2:5" ht="12.75">
      <c r="B242" s="6"/>
      <c r="C242" s="6"/>
      <c r="D242" s="6"/>
      <c r="E242" s="6"/>
    </row>
    <row r="243" spans="2:5" ht="12.75">
      <c r="B243" s="6"/>
      <c r="C243" s="6"/>
      <c r="D243" s="6"/>
      <c r="E243" s="6"/>
    </row>
    <row r="244" spans="2:5" ht="12.75">
      <c r="B244" s="6"/>
      <c r="C244" s="6"/>
      <c r="D244" s="6"/>
      <c r="E244" s="6"/>
    </row>
    <row r="245" spans="2:5" ht="12.75">
      <c r="B245" s="6"/>
      <c r="C245" s="6"/>
      <c r="D245" s="6"/>
      <c r="E245" s="6"/>
    </row>
    <row r="246" spans="2:5" ht="12.75">
      <c r="B246" s="6"/>
      <c r="C246" s="6"/>
      <c r="D246" s="6"/>
      <c r="E246" s="6"/>
    </row>
    <row r="247" spans="2:5" ht="12.75">
      <c r="B247" s="6"/>
      <c r="C247" s="6"/>
      <c r="D247" s="6"/>
      <c r="E247" s="6"/>
    </row>
    <row r="248" spans="2:5" ht="12.75">
      <c r="B248" s="6"/>
      <c r="C248" s="6"/>
      <c r="D248" s="6"/>
      <c r="E248" s="6"/>
    </row>
    <row r="249" spans="2:5" ht="12.75">
      <c r="B249" s="6"/>
      <c r="C249" s="6"/>
      <c r="D249" s="6"/>
      <c r="E249" s="6"/>
    </row>
    <row r="250" spans="2:5" ht="12.75">
      <c r="B250" s="6"/>
      <c r="C250" s="6"/>
      <c r="D250" s="6"/>
      <c r="E250" s="6"/>
    </row>
    <row r="251" spans="2:5" ht="12.75">
      <c r="B251" s="6"/>
      <c r="C251" s="6"/>
      <c r="D251" s="6"/>
      <c r="E251" s="6"/>
    </row>
    <row r="252" spans="2:5" ht="12.75">
      <c r="B252" s="6"/>
      <c r="C252" s="6"/>
      <c r="D252" s="6"/>
      <c r="E252" s="6"/>
    </row>
    <row r="253" spans="2:5" ht="12.75">
      <c r="B253" s="6"/>
      <c r="C253" s="6"/>
      <c r="D253" s="6"/>
      <c r="E253" s="6"/>
    </row>
    <row r="254" spans="2:5" ht="12.75">
      <c r="B254" s="6"/>
      <c r="C254" s="6"/>
      <c r="D254" s="6"/>
      <c r="E254" s="6"/>
    </row>
    <row r="255" spans="2:5" ht="12.75">
      <c r="B255" s="6"/>
      <c r="C255" s="6"/>
      <c r="D255" s="6"/>
      <c r="E255" s="6"/>
    </row>
    <row r="256" spans="2:5" ht="12.75">
      <c r="B256" s="6"/>
      <c r="C256" s="6"/>
      <c r="D256" s="6"/>
      <c r="E256" s="6"/>
    </row>
    <row r="257" spans="2:5" ht="12.75">
      <c r="B257" s="6"/>
      <c r="C257" s="6"/>
      <c r="D257" s="6"/>
      <c r="E257" s="6"/>
    </row>
    <row r="258" spans="2:5" ht="12.75">
      <c r="B258" s="6"/>
      <c r="C258" s="6"/>
      <c r="D258" s="6"/>
      <c r="E258" s="6"/>
    </row>
    <row r="259" spans="2:5" ht="12.75">
      <c r="B259" s="6"/>
      <c r="C259" s="6"/>
      <c r="D259" s="6"/>
      <c r="E259" s="6"/>
    </row>
    <row r="260" spans="2:5" ht="12.75">
      <c r="B260" s="6"/>
      <c r="C260" s="6"/>
      <c r="D260" s="6"/>
      <c r="E260" s="6"/>
    </row>
    <row r="261" spans="2:5" ht="12.75">
      <c r="B261" s="6"/>
      <c r="C261" s="6"/>
      <c r="D261" s="6"/>
      <c r="E261" s="6"/>
    </row>
    <row r="262" spans="2:5" ht="12.75">
      <c r="B262" s="6"/>
      <c r="C262" s="6"/>
      <c r="D262" s="6"/>
      <c r="E262" s="6"/>
    </row>
    <row r="263" spans="2:5" ht="12.75">
      <c r="B263" s="6"/>
      <c r="C263" s="6"/>
      <c r="D263" s="6"/>
      <c r="E263" s="6"/>
    </row>
    <row r="264" spans="2:5" ht="12.75">
      <c r="B264" s="6"/>
      <c r="C264" s="6"/>
      <c r="D264" s="6"/>
      <c r="E264" s="6"/>
    </row>
    <row r="265" spans="2:5" ht="12.75">
      <c r="B265" s="6"/>
      <c r="C265" s="6"/>
      <c r="D265" s="6"/>
      <c r="E265" s="6"/>
    </row>
    <row r="266" spans="2:5" ht="12.75">
      <c r="B266" s="6"/>
      <c r="C266" s="6"/>
      <c r="D266" s="6"/>
      <c r="E266" s="6"/>
    </row>
    <row r="267" spans="2:5" ht="12.75">
      <c r="B267" s="6"/>
      <c r="C267" s="6"/>
      <c r="D267" s="6"/>
      <c r="E267" s="6"/>
    </row>
    <row r="268" spans="2:5" ht="12.75">
      <c r="B268" s="6"/>
      <c r="C268" s="6"/>
      <c r="D268" s="6"/>
      <c r="E268" s="6"/>
    </row>
    <row r="269" spans="2:5" ht="12.75">
      <c r="B269" s="6"/>
      <c r="C269" s="6"/>
      <c r="D269" s="6"/>
      <c r="E269" s="6"/>
    </row>
    <row r="270" spans="2:5" ht="12.75">
      <c r="B270" s="6"/>
      <c r="C270" s="6"/>
      <c r="D270" s="6"/>
      <c r="E270" s="6"/>
    </row>
    <row r="271" spans="2:5" ht="12.75">
      <c r="B271" s="6"/>
      <c r="C271" s="6"/>
      <c r="D271" s="6"/>
      <c r="E271" s="6"/>
    </row>
    <row r="272" spans="2:5" ht="12.75">
      <c r="B272" s="6"/>
      <c r="C272" s="6"/>
      <c r="D272" s="6"/>
      <c r="E272" s="6"/>
    </row>
    <row r="273" spans="2:5" ht="12.75">
      <c r="B273" s="6"/>
      <c r="C273" s="6"/>
      <c r="D273" s="6"/>
      <c r="E273" s="6"/>
    </row>
    <row r="274" spans="2:5" ht="12.75">
      <c r="B274" s="6"/>
      <c r="C274" s="6"/>
      <c r="D274" s="6"/>
      <c r="E274" s="6"/>
    </row>
    <row r="275" spans="2:5" ht="12.75">
      <c r="B275" s="6"/>
      <c r="C275" s="6"/>
      <c r="D275" s="6"/>
      <c r="E275" s="6"/>
    </row>
    <row r="276" spans="2:5" ht="12.75">
      <c r="B276" s="6"/>
      <c r="C276" s="6"/>
      <c r="D276" s="6"/>
      <c r="E276" s="6"/>
    </row>
    <row r="277" spans="2:5" ht="12.75">
      <c r="B277" s="6"/>
      <c r="C277" s="6"/>
      <c r="D277" s="6"/>
      <c r="E277" s="6"/>
    </row>
    <row r="278" spans="2:5" ht="12.75">
      <c r="B278" s="6"/>
      <c r="C278" s="6"/>
      <c r="D278" s="6"/>
      <c r="E278" s="6"/>
    </row>
    <row r="279" spans="2:5" ht="12.75">
      <c r="B279" s="6"/>
      <c r="C279" s="6"/>
      <c r="D279" s="6"/>
      <c r="E279" s="6"/>
    </row>
    <row r="280" spans="2:5" ht="12.75">
      <c r="B280" s="6"/>
      <c r="C280" s="6"/>
      <c r="D280" s="6"/>
      <c r="E280" s="6"/>
    </row>
    <row r="281" spans="2:5" ht="12.75">
      <c r="B281" s="6"/>
      <c r="C281" s="6"/>
      <c r="D281" s="6"/>
      <c r="E281" s="6"/>
    </row>
    <row r="282" spans="2:5" ht="12.75">
      <c r="B282" s="6"/>
      <c r="C282" s="6"/>
      <c r="D282" s="6"/>
      <c r="E282" s="6"/>
    </row>
    <row r="283" spans="2:5" ht="12.75">
      <c r="B283" s="6"/>
      <c r="C283" s="6"/>
      <c r="D283" s="6"/>
      <c r="E283" s="6"/>
    </row>
    <row r="284" spans="2:5" ht="12.75">
      <c r="B284" s="6"/>
      <c r="C284" s="6"/>
      <c r="D284" s="6"/>
      <c r="E284" s="6"/>
    </row>
    <row r="285" spans="2:5" ht="12.75">
      <c r="B285" s="6"/>
      <c r="C285" s="6"/>
      <c r="D285" s="6"/>
      <c r="E285" s="6"/>
    </row>
    <row r="286" spans="2:5" ht="12.75">
      <c r="B286" s="6"/>
      <c r="C286" s="6"/>
      <c r="D286" s="6"/>
      <c r="E286" s="6"/>
    </row>
    <row r="287" spans="2:5" ht="12.75">
      <c r="B287" s="6"/>
      <c r="C287" s="6"/>
      <c r="D287" s="6"/>
      <c r="E287" s="6"/>
    </row>
    <row r="288" spans="2:5" ht="12.75">
      <c r="B288" s="6"/>
      <c r="C288" s="6"/>
      <c r="D288" s="6"/>
      <c r="E288" s="6"/>
    </row>
    <row r="289" spans="2:5" ht="12.75">
      <c r="B289" s="6"/>
      <c r="C289" s="6"/>
      <c r="D289" s="6"/>
      <c r="E289" s="6"/>
    </row>
    <row r="290" spans="2:5" ht="12.75">
      <c r="B290" s="6"/>
      <c r="C290" s="6"/>
      <c r="D290" s="6"/>
      <c r="E290" s="6"/>
    </row>
    <row r="291" spans="2:5" ht="12.75">
      <c r="B291" s="6"/>
      <c r="C291" s="6"/>
      <c r="D291" s="6"/>
      <c r="E291" s="6"/>
    </row>
    <row r="292" spans="2:5" ht="12.75">
      <c r="B292" s="6"/>
      <c r="C292" s="6"/>
      <c r="D292" s="6"/>
      <c r="E292" s="6"/>
    </row>
    <row r="293" spans="2:5" ht="12.75">
      <c r="B293" s="6"/>
      <c r="C293" s="6"/>
      <c r="D293" s="6"/>
      <c r="E293" s="6"/>
    </row>
    <row r="294" spans="2:5" ht="12.75">
      <c r="B294" s="6"/>
      <c r="C294" s="6"/>
      <c r="D294" s="6"/>
      <c r="E294" s="6"/>
    </row>
    <row r="295" spans="2:5" ht="12.75">
      <c r="B295" s="6"/>
      <c r="C295" s="6"/>
      <c r="D295" s="6"/>
      <c r="E295" s="6"/>
    </row>
    <row r="296" spans="2:5" ht="12.75">
      <c r="B296" s="6"/>
      <c r="C296" s="6"/>
      <c r="D296" s="6"/>
      <c r="E296" s="6"/>
    </row>
    <row r="297" spans="2:5" ht="12.75">
      <c r="B297" s="6"/>
      <c r="C297" s="6"/>
      <c r="D297" s="6"/>
      <c r="E297" s="6"/>
    </row>
    <row r="298" spans="2:5" ht="12.75">
      <c r="B298" s="6"/>
      <c r="C298" s="6"/>
      <c r="D298" s="6"/>
      <c r="E298" s="6"/>
    </row>
    <row r="299" spans="2:5" ht="12.75">
      <c r="B299" s="6"/>
      <c r="C299" s="6"/>
      <c r="D299" s="6"/>
      <c r="E299" s="6"/>
    </row>
    <row r="300" spans="2:5" ht="12.75">
      <c r="B300" s="6"/>
      <c r="C300" s="6"/>
      <c r="D300" s="6"/>
      <c r="E300" s="6"/>
    </row>
    <row r="301" spans="2:5" ht="12.75">
      <c r="B301" s="6"/>
      <c r="C301" s="6"/>
      <c r="D301" s="6"/>
      <c r="E301" s="6"/>
    </row>
    <row r="302" spans="2:5" ht="12.75">
      <c r="B302" s="6"/>
      <c r="C302" s="6"/>
      <c r="D302" s="6"/>
      <c r="E302" s="6"/>
    </row>
    <row r="303" spans="2:5" ht="12.75">
      <c r="B303" s="6"/>
      <c r="C303" s="6"/>
      <c r="D303" s="6"/>
      <c r="E303" s="6"/>
    </row>
    <row r="304" spans="2:5" ht="12.75">
      <c r="B304" s="6"/>
      <c r="C304" s="6"/>
      <c r="D304" s="6"/>
      <c r="E304" s="6"/>
    </row>
    <row r="305" spans="2:5" ht="12.75">
      <c r="B305" s="6"/>
      <c r="C305" s="6"/>
      <c r="D305" s="6"/>
      <c r="E305" s="6"/>
    </row>
    <row r="306" spans="2:5" ht="12.75">
      <c r="B306" s="6"/>
      <c r="C306" s="6"/>
      <c r="D306" s="6"/>
      <c r="E306" s="6"/>
    </row>
    <row r="307" spans="2:5" ht="12.75">
      <c r="B307" s="6"/>
      <c r="C307" s="6"/>
      <c r="D307" s="6"/>
      <c r="E307" s="6"/>
    </row>
    <row r="308" spans="2:5" ht="12.75">
      <c r="B308" s="6"/>
      <c r="C308" s="6"/>
      <c r="D308" s="6"/>
      <c r="E308" s="6"/>
    </row>
    <row r="309" spans="2:5" ht="12.75">
      <c r="B309" s="6"/>
      <c r="C309" s="6"/>
      <c r="D309" s="6"/>
      <c r="E309" s="6"/>
    </row>
    <row r="310" spans="2:5" ht="12.75">
      <c r="B310" s="6"/>
      <c r="C310" s="6"/>
      <c r="D310" s="6"/>
      <c r="E310" s="6"/>
    </row>
    <row r="311" spans="2:5" ht="12.75">
      <c r="B311" s="6"/>
      <c r="C311" s="6"/>
      <c r="D311" s="6"/>
      <c r="E311" s="6"/>
    </row>
    <row r="312" spans="2:5" ht="12.75">
      <c r="B312" s="6"/>
      <c r="C312" s="6"/>
      <c r="D312" s="6"/>
      <c r="E312" s="6"/>
    </row>
    <row r="313" spans="2:5" ht="12.75">
      <c r="B313" s="6"/>
      <c r="C313" s="6"/>
      <c r="D313" s="6"/>
      <c r="E313" s="6"/>
    </row>
    <row r="314" spans="2:5" ht="12.75">
      <c r="B314" s="6"/>
      <c r="C314" s="6"/>
      <c r="D314" s="6"/>
      <c r="E314" s="6"/>
    </row>
    <row r="315" spans="2:5" ht="12.75">
      <c r="B315" s="6"/>
      <c r="C315" s="6"/>
      <c r="D315" s="6"/>
      <c r="E315" s="6"/>
    </row>
    <row r="316" spans="2:5" ht="12.75">
      <c r="B316" s="6"/>
      <c r="C316" s="6"/>
      <c r="D316" s="6"/>
      <c r="E316" s="6"/>
    </row>
    <row r="317" spans="2:5" ht="12.75">
      <c r="B317" s="6"/>
      <c r="C317" s="6"/>
      <c r="D317" s="6"/>
      <c r="E317" s="6"/>
    </row>
    <row r="318" spans="2:5" ht="12.75">
      <c r="B318" s="6"/>
      <c r="C318" s="6"/>
      <c r="D318" s="6"/>
      <c r="E318" s="6"/>
    </row>
    <row r="319" spans="2:5" ht="12.75">
      <c r="B319" s="6"/>
      <c r="C319" s="6"/>
      <c r="D319" s="6"/>
      <c r="E319" s="6"/>
    </row>
    <row r="320" spans="2:5" ht="12.75">
      <c r="B320" s="6"/>
      <c r="C320" s="6"/>
      <c r="D320" s="6"/>
      <c r="E320" s="6"/>
    </row>
    <row r="321" spans="2:5" ht="12.75">
      <c r="B321" s="6"/>
      <c r="C321" s="6"/>
      <c r="D321" s="6"/>
      <c r="E321" s="6"/>
    </row>
    <row r="322" spans="2:5" ht="12.75">
      <c r="B322" s="6"/>
      <c r="C322" s="6"/>
      <c r="D322" s="6"/>
      <c r="E322" s="6"/>
    </row>
    <row r="323" spans="2:5" ht="12.75">
      <c r="B323" s="6"/>
      <c r="C323" s="6"/>
      <c r="D323" s="6"/>
      <c r="E323" s="6"/>
    </row>
    <row r="324" spans="2:5" ht="12.75">
      <c r="B324" s="6"/>
      <c r="C324" s="6"/>
      <c r="D324" s="6"/>
      <c r="E324" s="6"/>
    </row>
    <row r="325" spans="2:5" ht="12.75">
      <c r="B325" s="6"/>
      <c r="C325" s="6"/>
      <c r="D325" s="6"/>
      <c r="E325" s="6"/>
    </row>
    <row r="326" spans="2:5" ht="12.75">
      <c r="B326" s="6"/>
      <c r="C326" s="6"/>
      <c r="D326" s="6"/>
      <c r="E326" s="6"/>
    </row>
    <row r="327" spans="2:5" ht="12.75">
      <c r="B327" s="6"/>
      <c r="C327" s="6"/>
      <c r="D327" s="6"/>
      <c r="E327" s="6"/>
    </row>
    <row r="328" spans="2:5" ht="12.75">
      <c r="B328" s="6"/>
      <c r="C328" s="6"/>
      <c r="D328" s="6"/>
      <c r="E328" s="6"/>
    </row>
    <row r="329" spans="2:5" ht="12.75">
      <c r="B329" s="6"/>
      <c r="C329" s="6"/>
      <c r="D329" s="6"/>
      <c r="E329" s="6"/>
    </row>
    <row r="330" spans="2:5" ht="12.75">
      <c r="B330" s="6"/>
      <c r="C330" s="6"/>
      <c r="D330" s="6"/>
      <c r="E330" s="6"/>
    </row>
    <row r="331" spans="2:5" ht="12.75">
      <c r="B331" s="6"/>
      <c r="C331" s="6"/>
      <c r="D331" s="6"/>
      <c r="E331" s="6"/>
    </row>
    <row r="332" spans="2:5" ht="12.75">
      <c r="B332" s="6"/>
      <c r="C332" s="6"/>
      <c r="D332" s="6"/>
      <c r="E332" s="6"/>
    </row>
    <row r="333" spans="2:5" ht="12.75">
      <c r="B333" s="6"/>
      <c r="C333" s="6"/>
      <c r="D333" s="6"/>
      <c r="E333" s="6"/>
    </row>
    <row r="334" spans="2:5" ht="12.75">
      <c r="B334" s="6"/>
      <c r="C334" s="6"/>
      <c r="D334" s="6"/>
      <c r="E334" s="6"/>
    </row>
    <row r="335" spans="2:5" ht="12.75">
      <c r="B335" s="6"/>
      <c r="C335" s="6"/>
      <c r="D335" s="6"/>
      <c r="E335" s="6"/>
    </row>
    <row r="336" spans="2:5" ht="12.75">
      <c r="B336" s="6"/>
      <c r="C336" s="6"/>
      <c r="D336" s="6"/>
      <c r="E336" s="6"/>
    </row>
    <row r="337" spans="2:5" ht="12.75">
      <c r="B337" s="6"/>
      <c r="C337" s="6"/>
      <c r="D337" s="6"/>
      <c r="E337" s="6"/>
    </row>
    <row r="338" spans="2:5" ht="12.75">
      <c r="B338" s="6"/>
      <c r="C338" s="6"/>
      <c r="D338" s="6"/>
      <c r="E338" s="6"/>
    </row>
    <row r="339" spans="2:5" ht="12.75">
      <c r="B339" s="6"/>
      <c r="C339" s="6"/>
      <c r="D339" s="6"/>
      <c r="E339" s="6"/>
    </row>
    <row r="340" spans="2:5" ht="12.75">
      <c r="B340" s="6"/>
      <c r="C340" s="6"/>
      <c r="D340" s="6"/>
      <c r="E340" s="6"/>
    </row>
    <row r="341" spans="2:5" ht="12.75">
      <c r="B341" s="6"/>
      <c r="C341" s="6"/>
      <c r="D341" s="6"/>
      <c r="E341" s="6"/>
    </row>
    <row r="342" spans="2:5" ht="12.75">
      <c r="B342" s="6"/>
      <c r="C342" s="6"/>
      <c r="D342" s="6"/>
      <c r="E342" s="6"/>
    </row>
    <row r="343" spans="2:5" ht="12.75">
      <c r="B343" s="6"/>
      <c r="C343" s="6"/>
      <c r="D343" s="6"/>
      <c r="E343" s="6"/>
    </row>
    <row r="344" spans="2:5" ht="12.75">
      <c r="B344" s="6"/>
      <c r="C344" s="6"/>
      <c r="D344" s="6"/>
      <c r="E344" s="6"/>
    </row>
    <row r="345" spans="2:5" ht="12.75">
      <c r="B345" s="6"/>
      <c r="C345" s="6"/>
      <c r="D345" s="6"/>
      <c r="E345" s="6"/>
    </row>
    <row r="346" spans="2:5" ht="12.75">
      <c r="B346" s="6"/>
      <c r="C346" s="6"/>
      <c r="D346" s="6"/>
      <c r="E346" s="6"/>
    </row>
    <row r="347" spans="2:5" ht="12.75">
      <c r="B347" s="6"/>
      <c r="C347" s="6"/>
      <c r="D347" s="6"/>
      <c r="E347" s="6"/>
    </row>
    <row r="348" spans="2:5" ht="12.75">
      <c r="B348" s="6"/>
      <c r="C348" s="6"/>
      <c r="D348" s="6"/>
      <c r="E348" s="6"/>
    </row>
    <row r="349" spans="2:5" ht="12.75">
      <c r="B349" s="6"/>
      <c r="C349" s="6"/>
      <c r="D349" s="6"/>
      <c r="E349" s="6"/>
    </row>
    <row r="350" spans="2:5" ht="12.75">
      <c r="B350" s="6"/>
      <c r="C350" s="6"/>
      <c r="D350" s="6"/>
      <c r="E350" s="6"/>
    </row>
    <row r="351" spans="2:5" ht="12.75">
      <c r="B351" s="6"/>
      <c r="C351" s="6"/>
      <c r="D351" s="6"/>
      <c r="E351" s="6"/>
    </row>
    <row r="352" spans="2:5" ht="12.75">
      <c r="B352" s="6"/>
      <c r="C352" s="6"/>
      <c r="D352" s="6"/>
      <c r="E352" s="6"/>
    </row>
    <row r="353" spans="2:5" ht="12.75">
      <c r="B353" s="6"/>
      <c r="C353" s="6"/>
      <c r="D353" s="6"/>
      <c r="E353" s="6"/>
    </row>
    <row r="354" spans="2:5" ht="12.75">
      <c r="B354" s="6"/>
      <c r="C354" s="6"/>
      <c r="D354" s="6"/>
      <c r="E354" s="6"/>
    </row>
    <row r="355" spans="2:5" ht="12.75">
      <c r="B355" s="6"/>
      <c r="C355" s="6"/>
      <c r="D355" s="6"/>
      <c r="E355" s="6"/>
    </row>
    <row r="356" spans="2:5" ht="12.75">
      <c r="B356" s="6"/>
      <c r="C356" s="6"/>
      <c r="D356" s="6"/>
      <c r="E356" s="6"/>
    </row>
    <row r="357" spans="2:5" ht="12.75">
      <c r="B357" s="6"/>
      <c r="C357" s="6"/>
      <c r="D357" s="6"/>
      <c r="E357" s="6"/>
    </row>
    <row r="358" spans="2:5" ht="12.75">
      <c r="B358" s="6"/>
      <c r="C358" s="6"/>
      <c r="D358" s="6"/>
      <c r="E358" s="6"/>
    </row>
    <row r="359" spans="2:5" ht="12.75">
      <c r="B359" s="6"/>
      <c r="C359" s="6"/>
      <c r="D359" s="6"/>
      <c r="E359" s="6"/>
    </row>
    <row r="360" spans="2:5" ht="12.75">
      <c r="B360" s="6"/>
      <c r="C360" s="6"/>
      <c r="D360" s="6"/>
      <c r="E360" s="6"/>
    </row>
    <row r="361" spans="2:5" ht="12.75">
      <c r="B361" s="6"/>
      <c r="C361" s="6"/>
      <c r="D361" s="6"/>
      <c r="E361" s="6"/>
    </row>
    <row r="362" spans="2:5" ht="12.75">
      <c r="B362" s="6"/>
      <c r="C362" s="6"/>
      <c r="D362" s="6"/>
      <c r="E362" s="6"/>
    </row>
    <row r="363" spans="2:5" ht="12.75">
      <c r="B363" s="6"/>
      <c r="C363" s="6"/>
      <c r="D363" s="6"/>
      <c r="E363" s="6"/>
    </row>
    <row r="364" spans="2:5" ht="12.75">
      <c r="B364" s="6"/>
      <c r="C364" s="6"/>
      <c r="D364" s="6"/>
      <c r="E364" s="6"/>
    </row>
    <row r="365" spans="2:5" ht="12.75">
      <c r="B365" s="6"/>
      <c r="C365" s="6"/>
      <c r="D365" s="6"/>
      <c r="E365" s="6"/>
    </row>
    <row r="366" spans="2:5" ht="12.75">
      <c r="B366" s="6"/>
      <c r="C366" s="6"/>
      <c r="D366" s="6"/>
      <c r="E366" s="6"/>
    </row>
    <row r="367" spans="2:5" ht="12.75">
      <c r="B367" s="6"/>
      <c r="C367" s="6"/>
      <c r="D367" s="6"/>
      <c r="E367" s="6"/>
    </row>
    <row r="368" spans="2:5" ht="12.75">
      <c r="B368" s="6"/>
      <c r="C368" s="6"/>
      <c r="D368" s="6"/>
      <c r="E368" s="6"/>
    </row>
    <row r="369" spans="2:5" ht="12.75">
      <c r="B369" s="6"/>
      <c r="C369" s="6"/>
      <c r="D369" s="6"/>
      <c r="E369" s="6"/>
    </row>
    <row r="370" spans="2:5" ht="12.75">
      <c r="B370" s="6"/>
      <c r="C370" s="6"/>
      <c r="D370" s="6"/>
      <c r="E370" s="6"/>
    </row>
    <row r="371" spans="2:5" ht="12.75">
      <c r="B371" s="6"/>
      <c r="C371" s="6"/>
      <c r="D371" s="6"/>
      <c r="E371" s="6"/>
    </row>
    <row r="372" spans="2:5" ht="12.75">
      <c r="B372" s="6"/>
      <c r="C372" s="6"/>
      <c r="D372" s="6"/>
      <c r="E372" s="6"/>
    </row>
    <row r="373" spans="2:5" ht="12.75">
      <c r="B373" s="6"/>
      <c r="C373" s="6"/>
      <c r="D373" s="6"/>
      <c r="E373" s="6"/>
    </row>
    <row r="374" spans="2:5" ht="12.75">
      <c r="B374" s="6"/>
      <c r="C374" s="6"/>
      <c r="D374" s="6"/>
      <c r="E374" s="6"/>
    </row>
    <row r="375" spans="2:5" ht="12.75">
      <c r="B375" s="6"/>
      <c r="C375" s="6"/>
      <c r="D375" s="6"/>
      <c r="E375" s="6"/>
    </row>
    <row r="376" spans="2:5" ht="12.75">
      <c r="B376" s="6"/>
      <c r="C376" s="6"/>
      <c r="D376" s="6"/>
      <c r="E376" s="6"/>
    </row>
    <row r="377" spans="2:5" ht="12.75">
      <c r="B377" s="6"/>
      <c r="C377" s="6"/>
      <c r="D377" s="6"/>
      <c r="E377" s="6"/>
    </row>
    <row r="378" spans="2:5" ht="12.75">
      <c r="B378" s="6"/>
      <c r="C378" s="6"/>
      <c r="D378" s="6"/>
      <c r="E378" s="6"/>
    </row>
    <row r="379" spans="2:5" ht="12.75">
      <c r="B379" s="6"/>
      <c r="C379" s="6"/>
      <c r="D379" s="6"/>
      <c r="E379" s="6"/>
    </row>
    <row r="380" spans="2:5" ht="12.75">
      <c r="B380" s="6"/>
      <c r="C380" s="6"/>
      <c r="D380" s="6"/>
      <c r="E380" s="6"/>
    </row>
    <row r="381" spans="2:5" ht="12.75">
      <c r="B381" s="6"/>
      <c r="C381" s="6"/>
      <c r="D381" s="6"/>
      <c r="E381" s="6"/>
    </row>
    <row r="382" spans="2:5" ht="12.75">
      <c r="B382" s="6"/>
      <c r="C382" s="6"/>
      <c r="D382" s="6"/>
      <c r="E382" s="6"/>
    </row>
    <row r="383" spans="2:5" ht="12.75">
      <c r="B383" s="6"/>
      <c r="C383" s="6"/>
      <c r="D383" s="6"/>
      <c r="E383" s="6"/>
    </row>
    <row r="384" spans="2:5" ht="12.75">
      <c r="B384" s="6"/>
      <c r="C384" s="6"/>
      <c r="D384" s="6"/>
      <c r="E384" s="6"/>
    </row>
    <row r="385" spans="2:5" ht="12.75">
      <c r="B385" s="6"/>
      <c r="C385" s="6"/>
      <c r="D385" s="6"/>
      <c r="E385" s="6"/>
    </row>
    <row r="386" spans="2:5" ht="12.75">
      <c r="B386" s="6"/>
      <c r="C386" s="6"/>
      <c r="D386" s="6"/>
      <c r="E386" s="6"/>
    </row>
    <row r="387" spans="2:5" ht="12.75">
      <c r="B387" s="6"/>
      <c r="C387" s="6"/>
      <c r="D387" s="6"/>
      <c r="E387" s="6"/>
    </row>
    <row r="388" spans="2:5" ht="12.75">
      <c r="B388" s="6"/>
      <c r="C388" s="6"/>
      <c r="D388" s="6"/>
      <c r="E388" s="6"/>
    </row>
    <row r="389" spans="2:5" ht="12.75">
      <c r="B389" s="6"/>
      <c r="C389" s="6"/>
      <c r="D389" s="6"/>
      <c r="E389" s="6"/>
    </row>
    <row r="390" spans="2:5" ht="12.75">
      <c r="B390" s="6"/>
      <c r="C390" s="6"/>
      <c r="D390" s="6"/>
      <c r="E390" s="6"/>
    </row>
    <row r="391" spans="2:5" ht="12.75">
      <c r="B391" s="6"/>
      <c r="C391" s="6"/>
      <c r="D391" s="6"/>
      <c r="E391" s="6"/>
    </row>
    <row r="392" spans="2:5" ht="12.75">
      <c r="B392" s="6"/>
      <c r="C392" s="6"/>
      <c r="D392" s="6"/>
      <c r="E392" s="6"/>
    </row>
    <row r="393" spans="2:5" ht="12.75">
      <c r="B393" s="6"/>
      <c r="C393" s="6"/>
      <c r="D393" s="6"/>
      <c r="E393" s="6"/>
    </row>
    <row r="394" spans="2:5" ht="12.75">
      <c r="B394" s="6"/>
      <c r="C394" s="6"/>
      <c r="D394" s="6"/>
      <c r="E394" s="6"/>
    </row>
    <row r="395" spans="2:5" ht="12.75">
      <c r="B395" s="6"/>
      <c r="C395" s="6"/>
      <c r="D395" s="6"/>
      <c r="E395" s="6"/>
    </row>
    <row r="396" spans="2:5" ht="12.75">
      <c r="B396" s="6"/>
      <c r="C396" s="6"/>
      <c r="D396" s="6"/>
      <c r="E396" s="6"/>
    </row>
    <row r="397" spans="2:5" ht="12.75">
      <c r="B397" s="6"/>
      <c r="C397" s="6"/>
      <c r="D397" s="6"/>
      <c r="E397" s="6"/>
    </row>
    <row r="398" spans="2:5" ht="12.75">
      <c r="B398" s="6"/>
      <c r="C398" s="6"/>
      <c r="D398" s="6"/>
      <c r="E398" s="6"/>
    </row>
    <row r="399" spans="2:5" ht="12.75">
      <c r="B399" s="6"/>
      <c r="C399" s="6"/>
      <c r="D399" s="6"/>
      <c r="E399" s="6"/>
    </row>
    <row r="400" spans="2:5" ht="12.75">
      <c r="B400" s="6"/>
      <c r="C400" s="6"/>
      <c r="D400" s="6"/>
      <c r="E400" s="6"/>
    </row>
    <row r="401" spans="2:5" ht="12.75">
      <c r="B401" s="6"/>
      <c r="C401" s="6"/>
      <c r="D401" s="6"/>
      <c r="E401" s="6"/>
    </row>
    <row r="402" spans="2:5" ht="12.75">
      <c r="B402" s="6"/>
      <c r="C402" s="6"/>
      <c r="D402" s="6"/>
      <c r="E402" s="6"/>
    </row>
    <row r="403" spans="2:5" ht="12.75">
      <c r="B403" s="6"/>
      <c r="C403" s="6"/>
      <c r="D403" s="6"/>
      <c r="E403" s="6"/>
    </row>
    <row r="404" spans="2:5" ht="12.75">
      <c r="B404" s="6"/>
      <c r="C404" s="6"/>
      <c r="D404" s="6"/>
      <c r="E404" s="6"/>
    </row>
    <row r="405" spans="2:5" ht="12.75">
      <c r="B405" s="6"/>
      <c r="C405" s="6"/>
      <c r="D405" s="6"/>
      <c r="E405" s="6"/>
    </row>
    <row r="406" spans="2:5" ht="12.75">
      <c r="B406" s="6"/>
      <c r="C406" s="6"/>
      <c r="D406" s="6"/>
      <c r="E406" s="6"/>
    </row>
    <row r="407" spans="2:5" ht="12.75">
      <c r="B407" s="6"/>
      <c r="C407" s="6"/>
      <c r="D407" s="6"/>
      <c r="E407" s="6"/>
    </row>
    <row r="408" spans="2:5" ht="12.75">
      <c r="B408" s="6"/>
      <c r="C408" s="6"/>
      <c r="D408" s="6"/>
      <c r="E408" s="6"/>
    </row>
    <row r="409" spans="2:5" ht="12.75">
      <c r="B409" s="6"/>
      <c r="C409" s="6"/>
      <c r="D409" s="6"/>
      <c r="E409" s="6"/>
    </row>
    <row r="410" spans="2:5" ht="12.75">
      <c r="B410" s="6"/>
      <c r="C410" s="6"/>
      <c r="D410" s="6"/>
      <c r="E410" s="6"/>
    </row>
    <row r="411" spans="2:5" ht="12.75">
      <c r="B411" s="6"/>
      <c r="C411" s="6"/>
      <c r="D411" s="6"/>
      <c r="E411" s="6"/>
    </row>
    <row r="412" spans="2:5" ht="12.75">
      <c r="B412" s="6"/>
      <c r="C412" s="6"/>
      <c r="D412" s="6"/>
      <c r="E412" s="6"/>
    </row>
    <row r="413" spans="2:5" ht="12.75">
      <c r="B413" s="6"/>
      <c r="C413" s="6"/>
      <c r="D413" s="6"/>
      <c r="E413" s="6"/>
    </row>
    <row r="414" spans="2:5" ht="12.75">
      <c r="B414" s="6"/>
      <c r="C414" s="6"/>
      <c r="D414" s="6"/>
      <c r="E414" s="6"/>
    </row>
    <row r="415" spans="2:5" ht="12.75">
      <c r="B415" s="6"/>
      <c r="C415" s="6"/>
      <c r="D415" s="6"/>
      <c r="E415" s="6"/>
    </row>
    <row r="416" spans="2:5" ht="12.75">
      <c r="B416" s="6"/>
      <c r="C416" s="6"/>
      <c r="D416" s="6"/>
      <c r="E416" s="6"/>
    </row>
    <row r="417" spans="2:5" ht="12.75">
      <c r="B417" s="6"/>
      <c r="C417" s="6"/>
      <c r="D417" s="6"/>
      <c r="E417" s="6"/>
    </row>
    <row r="418" spans="2:5" ht="12.75">
      <c r="B418" s="6"/>
      <c r="C418" s="6"/>
      <c r="D418" s="6"/>
      <c r="E418" s="6"/>
    </row>
    <row r="419" spans="2:5" ht="12.75">
      <c r="B419" s="6"/>
      <c r="C419" s="6"/>
      <c r="D419" s="6"/>
      <c r="E419" s="6"/>
    </row>
    <row r="420" spans="2:5" ht="12.75">
      <c r="B420" s="6"/>
      <c r="C420" s="6"/>
      <c r="D420" s="6"/>
      <c r="E420" s="6"/>
    </row>
    <row r="421" spans="2:5" ht="12.75">
      <c r="B421" s="6"/>
      <c r="C421" s="6"/>
      <c r="D421" s="6"/>
      <c r="E421" s="6"/>
    </row>
    <row r="422" spans="2:5" ht="12.75">
      <c r="B422" s="6"/>
      <c r="C422" s="6"/>
      <c r="D422" s="6"/>
      <c r="E422" s="6"/>
    </row>
    <row r="423" spans="2:5" ht="12.75">
      <c r="B423" s="6"/>
      <c r="C423" s="6"/>
      <c r="D423" s="6"/>
      <c r="E423" s="6"/>
    </row>
    <row r="424" spans="2:5" ht="12.75">
      <c r="B424" s="6"/>
      <c r="C424" s="6"/>
      <c r="D424" s="6"/>
      <c r="E424" s="6"/>
    </row>
    <row r="425" spans="2:5" ht="12.75">
      <c r="B425" s="6"/>
      <c r="C425" s="6"/>
      <c r="D425" s="6"/>
      <c r="E425" s="6"/>
    </row>
    <row r="426" spans="2:5" ht="12.75">
      <c r="B426" s="6"/>
      <c r="C426" s="6"/>
      <c r="D426" s="6"/>
      <c r="E426" s="6"/>
    </row>
    <row r="427" spans="2:5" ht="12.75">
      <c r="B427" s="6"/>
      <c r="C427" s="6"/>
      <c r="D427" s="6"/>
      <c r="E427" s="6"/>
    </row>
    <row r="428" spans="2:5" ht="12.75">
      <c r="B428" s="6"/>
      <c r="C428" s="6"/>
      <c r="D428" s="6"/>
      <c r="E428" s="6"/>
    </row>
    <row r="429" spans="2:5" ht="12.75">
      <c r="B429" s="6"/>
      <c r="C429" s="6"/>
      <c r="D429" s="6"/>
      <c r="E429" s="6"/>
    </row>
    <row r="430" spans="2:5" ht="12.75">
      <c r="B430" s="6"/>
      <c r="C430" s="6"/>
      <c r="D430" s="6"/>
      <c r="E430" s="6"/>
    </row>
    <row r="431" spans="2:5" ht="12.75">
      <c r="B431" s="6"/>
      <c r="C431" s="6"/>
      <c r="D431" s="6"/>
      <c r="E431" s="6"/>
    </row>
    <row r="432" spans="2:5" ht="12.75">
      <c r="B432" s="6"/>
      <c r="C432" s="6"/>
      <c r="D432" s="6"/>
      <c r="E432" s="6"/>
    </row>
    <row r="433" spans="2:5" ht="12.75">
      <c r="B433" s="6"/>
      <c r="C433" s="6"/>
      <c r="D433" s="6"/>
      <c r="E433" s="6"/>
    </row>
    <row r="434" spans="2:5" ht="12.75">
      <c r="B434" s="6"/>
      <c r="C434" s="6"/>
      <c r="D434" s="6"/>
      <c r="E434" s="6"/>
    </row>
    <row r="435" spans="2:5" ht="12.75">
      <c r="B435" s="6"/>
      <c r="C435" s="6"/>
      <c r="D435" s="6"/>
      <c r="E435" s="6"/>
    </row>
    <row r="436" spans="2:5" ht="12.75">
      <c r="B436" s="6"/>
      <c r="C436" s="6"/>
      <c r="D436" s="6"/>
      <c r="E436" s="6"/>
    </row>
    <row r="437" spans="2:5" ht="12.75">
      <c r="B437" s="6"/>
      <c r="C437" s="6"/>
      <c r="D437" s="6"/>
      <c r="E437" s="6"/>
    </row>
    <row r="438" spans="2:5" ht="12.75">
      <c r="B438" s="6"/>
      <c r="C438" s="6"/>
      <c r="D438" s="6"/>
      <c r="E438" s="6"/>
    </row>
    <row r="439" spans="2:5" ht="12.75">
      <c r="B439" s="6"/>
      <c r="C439" s="6"/>
      <c r="D439" s="6"/>
      <c r="E439" s="6"/>
    </row>
    <row r="440" spans="2:5" ht="12.75">
      <c r="B440" s="6"/>
      <c r="C440" s="6"/>
      <c r="D440" s="6"/>
      <c r="E440" s="6"/>
    </row>
    <row r="441" spans="2:5" ht="12.75">
      <c r="B441" s="6"/>
      <c r="C441" s="6"/>
      <c r="D441" s="6"/>
      <c r="E441" s="6"/>
    </row>
    <row r="442" spans="2:5" ht="12.75">
      <c r="B442" s="6"/>
      <c r="C442" s="6"/>
      <c r="D442" s="6"/>
      <c r="E442" s="6"/>
    </row>
    <row r="443" spans="2:5" ht="12.75">
      <c r="B443" s="6"/>
      <c r="C443" s="6"/>
      <c r="D443" s="6"/>
      <c r="E443" s="6"/>
    </row>
    <row r="444" spans="2:5" ht="12.75">
      <c r="B444" s="6"/>
      <c r="C444" s="6"/>
      <c r="D444" s="6"/>
      <c r="E444" s="6"/>
    </row>
    <row r="445" spans="2:5" ht="12.75">
      <c r="B445" s="6"/>
      <c r="C445" s="6"/>
      <c r="D445" s="6"/>
      <c r="E445" s="6"/>
    </row>
    <row r="446" spans="2:5" ht="12.75">
      <c r="B446" s="6"/>
      <c r="C446" s="6"/>
      <c r="D446" s="6"/>
      <c r="E446" s="6"/>
    </row>
    <row r="447" spans="2:5" ht="12.75">
      <c r="B447" s="6"/>
      <c r="C447" s="6"/>
      <c r="D447" s="6"/>
      <c r="E447" s="6"/>
    </row>
    <row r="448" spans="2:5" ht="12.75">
      <c r="B448" s="6"/>
      <c r="C448" s="6"/>
      <c r="D448" s="6"/>
      <c r="E448" s="6"/>
    </row>
    <row r="449" spans="2:5" ht="12.75">
      <c r="B449" s="6"/>
      <c r="C449" s="6"/>
      <c r="D449" s="6"/>
      <c r="E449" s="6"/>
    </row>
    <row r="450" spans="2:5" ht="12.75">
      <c r="B450" s="6"/>
      <c r="C450" s="6"/>
      <c r="D450" s="6"/>
      <c r="E450" s="6"/>
    </row>
    <row r="451" spans="2:5" ht="12.75">
      <c r="B451" s="6"/>
      <c r="C451" s="6"/>
      <c r="D451" s="6"/>
      <c r="E451" s="6"/>
    </row>
    <row r="452" spans="2:5" ht="12.75">
      <c r="B452" s="6"/>
      <c r="C452" s="6"/>
      <c r="D452" s="6"/>
      <c r="E452" s="6"/>
    </row>
    <row r="453" spans="2:5" ht="12.75">
      <c r="B453" s="6"/>
      <c r="C453" s="6"/>
      <c r="D453" s="6"/>
      <c r="E453" s="6"/>
    </row>
    <row r="454" spans="2:5" ht="12.75">
      <c r="B454" s="6"/>
      <c r="C454" s="6"/>
      <c r="D454" s="6"/>
      <c r="E454" s="6"/>
    </row>
    <row r="455" spans="2:5" ht="12.75">
      <c r="B455" s="6"/>
      <c r="C455" s="6"/>
      <c r="D455" s="6"/>
      <c r="E455" s="6"/>
    </row>
    <row r="456" spans="2:5" ht="12.75">
      <c r="B456" s="6"/>
      <c r="C456" s="6"/>
      <c r="D456" s="6"/>
      <c r="E456" s="6"/>
    </row>
    <row r="457" spans="2:5" ht="12.75">
      <c r="B457" s="6"/>
      <c r="C457" s="6"/>
      <c r="D457" s="6"/>
      <c r="E457" s="6"/>
    </row>
    <row r="458" spans="2:5" ht="12.75">
      <c r="B458" s="6"/>
      <c r="C458" s="6"/>
      <c r="D458" s="6"/>
      <c r="E458" s="6"/>
    </row>
    <row r="459" spans="2:5" ht="12.75">
      <c r="B459" s="6"/>
      <c r="C459" s="6"/>
      <c r="D459" s="6"/>
      <c r="E459" s="6"/>
    </row>
    <row r="460" spans="2:5" ht="12.75">
      <c r="B460" s="6"/>
      <c r="C460" s="6"/>
      <c r="D460" s="6"/>
      <c r="E460" s="6"/>
    </row>
    <row r="461" spans="2:5" ht="12.75">
      <c r="B461" s="6"/>
      <c r="C461" s="6"/>
      <c r="D461" s="6"/>
      <c r="E461" s="6"/>
    </row>
    <row r="462" spans="2:5" ht="12.75">
      <c r="B462" s="6"/>
      <c r="C462" s="6"/>
      <c r="D462" s="6"/>
      <c r="E462" s="6"/>
    </row>
    <row r="463" spans="2:5" ht="12.75">
      <c r="B463" s="6"/>
      <c r="C463" s="6"/>
      <c r="D463" s="6"/>
      <c r="E463" s="6"/>
    </row>
    <row r="464" spans="2:5" ht="12.75">
      <c r="B464" s="6"/>
      <c r="C464" s="6"/>
      <c r="D464" s="6"/>
      <c r="E464" s="6"/>
    </row>
    <row r="465" spans="2:5" ht="12.75">
      <c r="B465" s="6"/>
      <c r="C465" s="6"/>
      <c r="D465" s="6"/>
      <c r="E465" s="6"/>
    </row>
    <row r="466" spans="2:5" ht="12.75">
      <c r="B466" s="6"/>
      <c r="C466" s="6"/>
      <c r="D466" s="6"/>
      <c r="E466" s="6"/>
    </row>
    <row r="467" spans="2:5" ht="12.75">
      <c r="B467" s="6"/>
      <c r="C467" s="6"/>
      <c r="D467" s="6"/>
      <c r="E467" s="6"/>
    </row>
    <row r="468" spans="2:5" ht="12.75">
      <c r="B468" s="6"/>
      <c r="C468" s="6"/>
      <c r="D468" s="6"/>
      <c r="E468" s="6"/>
    </row>
    <row r="469" spans="2:5" ht="12.75">
      <c r="B469" s="6"/>
      <c r="C469" s="6"/>
      <c r="D469" s="6"/>
      <c r="E469" s="6"/>
    </row>
    <row r="470" spans="2:5" ht="12.75">
      <c r="B470" s="6"/>
      <c r="C470" s="6"/>
      <c r="D470" s="6"/>
      <c r="E470" s="6"/>
    </row>
    <row r="471" spans="2:5" ht="12.75">
      <c r="B471" s="6"/>
      <c r="C471" s="6"/>
      <c r="D471" s="6"/>
      <c r="E471" s="6"/>
    </row>
    <row r="472" spans="2:5" ht="12.75">
      <c r="B472" s="6"/>
      <c r="C472" s="6"/>
      <c r="D472" s="6"/>
      <c r="E472" s="6"/>
    </row>
    <row r="473" spans="2:5" ht="12.75">
      <c r="B473" s="6"/>
      <c r="C473" s="6"/>
      <c r="D473" s="6"/>
      <c r="E473" s="6"/>
    </row>
    <row r="474" spans="2:5" ht="12.75">
      <c r="B474" s="6"/>
      <c r="C474" s="6"/>
      <c r="D474" s="6"/>
      <c r="E474" s="6"/>
    </row>
    <row r="475" spans="2:5" ht="12.75">
      <c r="B475" s="6"/>
      <c r="C475" s="6"/>
      <c r="D475" s="6"/>
      <c r="E475" s="6"/>
    </row>
    <row r="476" spans="2:5" ht="12.75">
      <c r="B476" s="6"/>
      <c r="C476" s="6"/>
      <c r="D476" s="6"/>
      <c r="E476" s="6"/>
    </row>
    <row r="477" spans="2:5" ht="12.75">
      <c r="B477" s="6"/>
      <c r="C477" s="6"/>
      <c r="D477" s="6"/>
      <c r="E477" s="6"/>
    </row>
    <row r="478" spans="2:5" ht="12.75">
      <c r="B478" s="6"/>
      <c r="C478" s="6"/>
      <c r="D478" s="6"/>
      <c r="E478" s="6"/>
    </row>
    <row r="479" spans="2:5" ht="12.75">
      <c r="B479" s="6"/>
      <c r="C479" s="6"/>
      <c r="D479" s="6"/>
      <c r="E479" s="6"/>
    </row>
    <row r="480" spans="2:5" ht="12.75">
      <c r="B480" s="6"/>
      <c r="C480" s="6"/>
      <c r="D480" s="6"/>
      <c r="E480" s="6"/>
    </row>
    <row r="481" spans="2:5" ht="12.75">
      <c r="B481" s="6"/>
      <c r="C481" s="6"/>
      <c r="D481" s="6"/>
      <c r="E481" s="6"/>
    </row>
    <row r="482" spans="2:5" ht="12.75">
      <c r="B482" s="6"/>
      <c r="C482" s="6"/>
      <c r="D482" s="6"/>
      <c r="E482" s="6"/>
    </row>
    <row r="483" spans="2:5" ht="12.75">
      <c r="B483" s="6"/>
      <c r="C483" s="6"/>
      <c r="D483" s="6"/>
      <c r="E483" s="6"/>
    </row>
    <row r="484" spans="2:5" ht="12.75">
      <c r="B484" s="6"/>
      <c r="C484" s="6"/>
      <c r="D484" s="6"/>
      <c r="E484" s="6"/>
    </row>
    <row r="485" spans="2:5" ht="12.75">
      <c r="B485" s="6"/>
      <c r="C485" s="6"/>
      <c r="D485" s="6"/>
      <c r="E485" s="6"/>
    </row>
    <row r="486" spans="2:5" ht="12.75">
      <c r="B486" s="6"/>
      <c r="C486" s="6"/>
      <c r="D486" s="6"/>
      <c r="E486" s="6"/>
    </row>
    <row r="487" spans="2:5" ht="12.75">
      <c r="B487" s="6"/>
      <c r="C487" s="6"/>
      <c r="D487" s="6"/>
      <c r="E487" s="6"/>
    </row>
    <row r="488" spans="2:5" ht="12.75">
      <c r="B488" s="6"/>
      <c r="C488" s="6"/>
      <c r="D488" s="6"/>
      <c r="E488" s="6"/>
    </row>
    <row r="489" spans="2:5" ht="12.75">
      <c r="B489" s="6"/>
      <c r="C489" s="6"/>
      <c r="D489" s="6"/>
      <c r="E489" s="6"/>
    </row>
    <row r="490" spans="2:5" ht="12.75">
      <c r="B490" s="6"/>
      <c r="C490" s="6"/>
      <c r="D490" s="6"/>
      <c r="E490" s="6"/>
    </row>
    <row r="491" spans="2:5" ht="12.75">
      <c r="B491" s="6"/>
      <c r="C491" s="6"/>
      <c r="D491" s="6"/>
      <c r="E491" s="6"/>
    </row>
    <row r="492" spans="2:5" ht="12.75">
      <c r="B492" s="6"/>
      <c r="C492" s="6"/>
      <c r="D492" s="6"/>
      <c r="E492" s="6"/>
    </row>
    <row r="493" spans="2:5" ht="12.75">
      <c r="B493" s="6"/>
      <c r="C493" s="6"/>
      <c r="D493" s="6"/>
      <c r="E493" s="6"/>
    </row>
    <row r="494" spans="2:5" ht="12.75">
      <c r="B494" s="6"/>
      <c r="C494" s="6"/>
      <c r="D494" s="6"/>
      <c r="E494" s="6"/>
    </row>
    <row r="495" spans="2:5" ht="12.75">
      <c r="B495" s="6"/>
      <c r="C495" s="6"/>
      <c r="D495" s="6"/>
      <c r="E495" s="6"/>
    </row>
    <row r="496" spans="2:5" ht="12.75">
      <c r="B496" s="6"/>
      <c r="C496" s="6"/>
      <c r="D496" s="6"/>
      <c r="E496" s="6"/>
    </row>
    <row r="497" spans="2:5" ht="12.75">
      <c r="B497" s="6"/>
      <c r="C497" s="6"/>
      <c r="D497" s="6"/>
      <c r="E497" s="6"/>
    </row>
    <row r="498" spans="2:5" ht="12.75">
      <c r="B498" s="6"/>
      <c r="C498" s="6"/>
      <c r="D498" s="6"/>
      <c r="E498" s="6"/>
    </row>
    <row r="499" spans="2:5" ht="12.75">
      <c r="B499" s="6"/>
      <c r="C499" s="6"/>
      <c r="D499" s="6"/>
      <c r="E499" s="6"/>
    </row>
    <row r="500" spans="2:5" ht="12.75">
      <c r="B500" s="6"/>
      <c r="C500" s="6"/>
      <c r="D500" s="6"/>
      <c r="E500" s="6"/>
    </row>
    <row r="501" spans="2:5" ht="12.75">
      <c r="B501" s="6"/>
      <c r="C501" s="6"/>
      <c r="D501" s="6"/>
      <c r="E501" s="6"/>
    </row>
    <row r="502" spans="2:5" ht="12.75">
      <c r="B502" s="6"/>
      <c r="C502" s="6"/>
      <c r="D502" s="6"/>
      <c r="E502" s="6"/>
    </row>
    <row r="503" spans="2:5" ht="12.75">
      <c r="B503" s="6"/>
      <c r="C503" s="6"/>
      <c r="D503" s="6"/>
      <c r="E503" s="6"/>
    </row>
    <row r="504" spans="2:5" ht="12.75">
      <c r="B504" s="6"/>
      <c r="C504" s="6"/>
      <c r="D504" s="6"/>
      <c r="E504" s="6"/>
    </row>
    <row r="505" spans="2:5" ht="12.75">
      <c r="B505" s="6"/>
      <c r="C505" s="6"/>
      <c r="D505" s="6"/>
      <c r="E505" s="6"/>
    </row>
    <row r="506" spans="2:5" ht="12.75">
      <c r="B506" s="6"/>
      <c r="C506" s="6"/>
      <c r="D506" s="6"/>
      <c r="E506" s="6"/>
    </row>
    <row r="507" spans="2:5" ht="12.75">
      <c r="B507" s="6"/>
      <c r="C507" s="6"/>
      <c r="D507" s="6"/>
      <c r="E507" s="6"/>
    </row>
    <row r="508" spans="2:5" ht="12.75">
      <c r="B508" s="6"/>
      <c r="C508" s="6"/>
      <c r="D508" s="6"/>
      <c r="E508" s="6"/>
    </row>
    <row r="509" spans="2:5" ht="12.75">
      <c r="B509" s="6"/>
      <c r="C509" s="6"/>
      <c r="D509" s="6"/>
      <c r="E509" s="6"/>
    </row>
    <row r="510" spans="2:5" ht="12.75">
      <c r="B510" s="6"/>
      <c r="C510" s="6"/>
      <c r="D510" s="6"/>
      <c r="E510" s="6"/>
    </row>
    <row r="511" spans="2:5" ht="12.75">
      <c r="B511" s="6"/>
      <c r="C511" s="6"/>
      <c r="D511" s="6"/>
      <c r="E511" s="6"/>
    </row>
    <row r="512" spans="2:5" ht="12.75">
      <c r="B512" s="6"/>
      <c r="C512" s="6"/>
      <c r="D512" s="6"/>
      <c r="E512" s="6"/>
    </row>
    <row r="513" spans="2:5" ht="12.75">
      <c r="B513" s="6"/>
      <c r="C513" s="6"/>
      <c r="D513" s="6"/>
      <c r="E513" s="6"/>
    </row>
    <row r="514" spans="2:5" ht="12.75">
      <c r="B514" s="6"/>
      <c r="C514" s="6"/>
      <c r="D514" s="6"/>
      <c r="E514" s="6"/>
    </row>
    <row r="515" spans="2:5" ht="12.75">
      <c r="B515" s="6"/>
      <c r="C515" s="6"/>
      <c r="D515" s="6"/>
      <c r="E515" s="6"/>
    </row>
    <row r="516" spans="2:5" ht="12.75">
      <c r="B516" s="6"/>
      <c r="C516" s="6"/>
      <c r="D516" s="6"/>
      <c r="E516" s="6"/>
    </row>
    <row r="517" spans="2:5" ht="12.75">
      <c r="B517" s="6"/>
      <c r="C517" s="6"/>
      <c r="D517" s="6"/>
      <c r="E517" s="6"/>
    </row>
    <row r="518" spans="2:5" ht="12.75">
      <c r="B518" s="6"/>
      <c r="C518" s="6"/>
      <c r="D518" s="6"/>
      <c r="E518" s="6"/>
    </row>
    <row r="519" spans="2:5" ht="12.75">
      <c r="B519" s="6"/>
      <c r="C519" s="6"/>
      <c r="D519" s="6"/>
      <c r="E519" s="6"/>
    </row>
    <row r="520" spans="2:5" ht="12.75">
      <c r="B520" s="6"/>
      <c r="C520" s="6"/>
      <c r="D520" s="6"/>
      <c r="E520" s="6"/>
    </row>
    <row r="521" spans="2:5" ht="12.75">
      <c r="B521" s="6"/>
      <c r="C521" s="6"/>
      <c r="D521" s="6"/>
      <c r="E521" s="6"/>
    </row>
    <row r="522" spans="2:5" ht="12.75">
      <c r="B522" s="6"/>
      <c r="C522" s="6"/>
      <c r="D522" s="6"/>
      <c r="E522" s="6"/>
    </row>
    <row r="523" spans="2:5" ht="12.75">
      <c r="B523" s="6"/>
      <c r="C523" s="6"/>
      <c r="D523" s="6"/>
      <c r="E523" s="6"/>
    </row>
    <row r="524" spans="2:5" ht="12.75">
      <c r="B524" s="6"/>
      <c r="C524" s="6"/>
      <c r="D524" s="6"/>
      <c r="E524" s="6"/>
    </row>
    <row r="525" spans="2:5" ht="12.75">
      <c r="B525" s="6"/>
      <c r="C525" s="6"/>
      <c r="D525" s="6"/>
      <c r="E525" s="6"/>
    </row>
    <row r="526" spans="2:5" ht="12.75">
      <c r="B526" s="6"/>
      <c r="C526" s="6"/>
      <c r="D526" s="6"/>
      <c r="E526" s="6"/>
    </row>
    <row r="527" spans="2:5" ht="12.75">
      <c r="B527" s="6"/>
      <c r="C527" s="6"/>
      <c r="D527" s="6"/>
      <c r="E527" s="6"/>
    </row>
    <row r="528" spans="2:5" ht="12.75">
      <c r="B528" s="6"/>
      <c r="C528" s="6"/>
      <c r="D528" s="6"/>
      <c r="E528" s="6"/>
    </row>
    <row r="529" spans="2:5" ht="12.75">
      <c r="B529" s="6"/>
      <c r="C529" s="6"/>
      <c r="D529" s="6"/>
      <c r="E529" s="6"/>
    </row>
    <row r="530" spans="2:5" ht="12.75">
      <c r="B530" s="6"/>
      <c r="C530" s="6"/>
      <c r="D530" s="6"/>
      <c r="E530" s="6"/>
    </row>
    <row r="531" spans="2:5" ht="12.75">
      <c r="B531" s="6"/>
      <c r="C531" s="6"/>
      <c r="D531" s="6"/>
      <c r="E531" s="6"/>
    </row>
    <row r="532" spans="2:5" ht="12.75">
      <c r="B532" s="6"/>
      <c r="C532" s="6"/>
      <c r="D532" s="6"/>
      <c r="E532" s="6"/>
    </row>
    <row r="533" spans="2:5" ht="12.75">
      <c r="B533" s="6"/>
      <c r="C533" s="6"/>
      <c r="D533" s="6"/>
      <c r="E533" s="6"/>
    </row>
    <row r="534" spans="2:5" ht="12.75">
      <c r="B534" s="6"/>
      <c r="C534" s="6"/>
      <c r="D534" s="6"/>
      <c r="E534" s="6"/>
    </row>
    <row r="535" spans="2:5" ht="12.75">
      <c r="B535" s="6"/>
      <c r="C535" s="6"/>
      <c r="D535" s="6"/>
      <c r="E535" s="6"/>
    </row>
    <row r="536" spans="2:5" ht="12.75">
      <c r="B536" s="6"/>
      <c r="C536" s="6"/>
      <c r="D536" s="6"/>
      <c r="E536" s="6"/>
    </row>
    <row r="537" spans="2:5" ht="12.75">
      <c r="B537" s="6"/>
      <c r="C537" s="6"/>
      <c r="D537" s="6"/>
      <c r="E537" s="6"/>
    </row>
    <row r="538" spans="2:5" ht="12.75">
      <c r="B538" s="6"/>
      <c r="C538" s="6"/>
      <c r="D538" s="6"/>
      <c r="E538" s="6"/>
    </row>
    <row r="539" spans="2:5" ht="12.75">
      <c r="B539" s="6"/>
      <c r="C539" s="6"/>
      <c r="D539" s="6"/>
      <c r="E539" s="6"/>
    </row>
    <row r="540" spans="2:5" ht="12.75">
      <c r="B540" s="6"/>
      <c r="C540" s="6"/>
      <c r="D540" s="6"/>
      <c r="E540" s="6"/>
    </row>
    <row r="541" spans="2:5" ht="12.75">
      <c r="B541" s="6"/>
      <c r="C541" s="6"/>
      <c r="D541" s="6"/>
      <c r="E541" s="6"/>
    </row>
    <row r="542" spans="2:5" ht="12.75">
      <c r="B542" s="6"/>
      <c r="C542" s="6"/>
      <c r="D542" s="6"/>
      <c r="E542" s="6"/>
    </row>
    <row r="543" spans="2:5" ht="12.75">
      <c r="B543" s="6"/>
      <c r="C543" s="6"/>
      <c r="D543" s="6"/>
      <c r="E543" s="6"/>
    </row>
    <row r="544" spans="2:5" ht="12.75">
      <c r="B544" s="6"/>
      <c r="C544" s="6"/>
      <c r="D544" s="6"/>
      <c r="E544" s="6"/>
    </row>
    <row r="545" spans="2:5" ht="12.75">
      <c r="B545" s="6"/>
      <c r="C545" s="6"/>
      <c r="D545" s="6"/>
      <c r="E545" s="6"/>
    </row>
    <row r="546" spans="2:5" ht="12.75">
      <c r="B546" s="6"/>
      <c r="C546" s="6"/>
      <c r="D546" s="6"/>
      <c r="E546" s="6"/>
    </row>
    <row r="547" spans="2:5" ht="12.75">
      <c r="B547" s="6"/>
      <c r="C547" s="6"/>
      <c r="D547" s="6"/>
      <c r="E547" s="6"/>
    </row>
    <row r="548" spans="2:5" ht="12.75">
      <c r="B548" s="6"/>
      <c r="C548" s="6"/>
      <c r="D548" s="6"/>
      <c r="E548" s="6"/>
    </row>
    <row r="549" spans="2:5" ht="12.75">
      <c r="B549" s="6"/>
      <c r="C549" s="6"/>
      <c r="D549" s="6"/>
      <c r="E549" s="6"/>
    </row>
    <row r="550" spans="2:5" ht="12.75">
      <c r="B550" s="6"/>
      <c r="C550" s="6"/>
      <c r="D550" s="6"/>
      <c r="E550" s="6"/>
    </row>
    <row r="551" spans="2:5" ht="12.75">
      <c r="B551" s="6"/>
      <c r="C551" s="6"/>
      <c r="D551" s="6"/>
      <c r="E551" s="6"/>
    </row>
    <row r="552" spans="2:5" ht="12.75">
      <c r="B552" s="6"/>
      <c r="C552" s="6"/>
      <c r="D552" s="6"/>
      <c r="E552" s="6"/>
    </row>
    <row r="553" spans="2:5" ht="12.75">
      <c r="B553" s="6"/>
      <c r="C553" s="6"/>
      <c r="D553" s="6"/>
      <c r="E553" s="6"/>
    </row>
    <row r="554" spans="2:5" ht="12.75">
      <c r="B554" s="6"/>
      <c r="C554" s="6"/>
      <c r="D554" s="6"/>
      <c r="E554" s="6"/>
    </row>
    <row r="555" spans="2:5" ht="12.75">
      <c r="B555" s="6"/>
      <c r="C555" s="6"/>
      <c r="D555" s="6"/>
      <c r="E555" s="6"/>
    </row>
    <row r="556" spans="2:5" ht="12.75">
      <c r="B556" s="6"/>
      <c r="C556" s="6"/>
      <c r="D556" s="6"/>
      <c r="E556" s="6"/>
    </row>
    <row r="557" spans="2:5" ht="12.75">
      <c r="B557" s="6"/>
      <c r="C557" s="6"/>
      <c r="D557" s="6"/>
      <c r="E557" s="6"/>
    </row>
    <row r="558" spans="2:5" ht="12.75">
      <c r="B558" s="6"/>
      <c r="C558" s="6"/>
      <c r="D558" s="6"/>
      <c r="E558" s="6"/>
    </row>
    <row r="559" spans="2:5" ht="12.75">
      <c r="B559" s="6"/>
      <c r="C559" s="6"/>
      <c r="D559" s="6"/>
      <c r="E559" s="6"/>
    </row>
    <row r="560" spans="2:5" ht="12.75">
      <c r="B560" s="6"/>
      <c r="C560" s="6"/>
      <c r="D560" s="6"/>
      <c r="E560" s="6"/>
    </row>
    <row r="561" spans="2:5" ht="12.75">
      <c r="B561" s="6"/>
      <c r="C561" s="6"/>
      <c r="D561" s="6"/>
      <c r="E561" s="6"/>
    </row>
    <row r="562" spans="2:5" ht="12.75">
      <c r="B562" s="6"/>
      <c r="C562" s="6"/>
      <c r="D562" s="6"/>
      <c r="E562" s="6"/>
    </row>
    <row r="563" spans="2:5" ht="12.75">
      <c r="B563" s="6"/>
      <c r="C563" s="6"/>
      <c r="D563" s="6"/>
      <c r="E563" s="6"/>
    </row>
    <row r="564" spans="2:5" ht="12.75">
      <c r="B564" s="6"/>
      <c r="C564" s="6"/>
      <c r="D564" s="6"/>
      <c r="E564" s="6"/>
    </row>
    <row r="565" spans="2:5" ht="12.75">
      <c r="B565" s="6"/>
      <c r="C565" s="6"/>
      <c r="D565" s="6"/>
      <c r="E565" s="6"/>
    </row>
    <row r="566" spans="2:5" ht="12.75">
      <c r="B566" s="6"/>
      <c r="C566" s="6"/>
      <c r="D566" s="6"/>
      <c r="E566" s="6"/>
    </row>
    <row r="567" spans="2:5" ht="12.75">
      <c r="B567" s="6"/>
      <c r="C567" s="6"/>
      <c r="D567" s="6"/>
      <c r="E567" s="6"/>
    </row>
    <row r="568" spans="2:5" ht="12.75">
      <c r="B568" s="6"/>
      <c r="C568" s="6"/>
      <c r="D568" s="6"/>
      <c r="E568" s="6"/>
    </row>
    <row r="569" spans="2:5" ht="12.75">
      <c r="B569" s="6"/>
      <c r="C569" s="6"/>
      <c r="D569" s="6"/>
      <c r="E569" s="6"/>
    </row>
    <row r="570" spans="2:5" ht="12.75">
      <c r="B570" s="6"/>
      <c r="C570" s="6"/>
      <c r="D570" s="6"/>
      <c r="E570" s="6"/>
    </row>
    <row r="571" spans="2:5" ht="12.75">
      <c r="B571" s="6"/>
      <c r="C571" s="6"/>
      <c r="D571" s="6"/>
      <c r="E571" s="6"/>
    </row>
    <row r="572" spans="2:5" ht="12.75">
      <c r="B572" s="6"/>
      <c r="C572" s="6"/>
      <c r="D572" s="6"/>
      <c r="E572" s="6"/>
    </row>
    <row r="573" spans="2:5" ht="12.75">
      <c r="B573" s="6"/>
      <c r="C573" s="6"/>
      <c r="D573" s="6"/>
      <c r="E573" s="6"/>
    </row>
    <row r="574" spans="2:5" ht="12.75">
      <c r="B574" s="6"/>
      <c r="C574" s="6"/>
      <c r="D574" s="6"/>
      <c r="E574" s="6"/>
    </row>
    <row r="575" spans="2:5" ht="12.75">
      <c r="B575" s="6"/>
      <c r="C575" s="6"/>
      <c r="D575" s="6"/>
      <c r="E575" s="6"/>
    </row>
    <row r="576" spans="2:5" ht="12.75">
      <c r="B576" s="6"/>
      <c r="C576" s="6"/>
      <c r="D576" s="6"/>
      <c r="E576" s="6"/>
    </row>
    <row r="577" spans="2:5" ht="12.75">
      <c r="B577" s="6"/>
      <c r="C577" s="6"/>
      <c r="D577" s="6"/>
      <c r="E577" s="6"/>
    </row>
    <row r="578" spans="2:5" ht="12.75">
      <c r="B578" s="6"/>
      <c r="C578" s="6"/>
      <c r="D578" s="6"/>
      <c r="E578" s="6"/>
    </row>
    <row r="579" spans="2:5" ht="12.75">
      <c r="B579" s="6"/>
      <c r="C579" s="6"/>
      <c r="D579" s="6"/>
      <c r="E579" s="6"/>
    </row>
    <row r="580" spans="2:5" ht="12.75">
      <c r="B580" s="6"/>
      <c r="C580" s="6"/>
      <c r="D580" s="6"/>
      <c r="E580" s="6"/>
    </row>
    <row r="581" spans="2:5" ht="12.75">
      <c r="B581" s="6"/>
      <c r="C581" s="6"/>
      <c r="D581" s="6"/>
      <c r="E581" s="6"/>
    </row>
    <row r="582" spans="2:5" ht="12.75">
      <c r="B582" s="6"/>
      <c r="C582" s="6"/>
      <c r="D582" s="6"/>
      <c r="E582" s="6"/>
    </row>
    <row r="583" spans="2:5" ht="12.75">
      <c r="B583" s="6"/>
      <c r="C583" s="6"/>
      <c r="D583" s="6"/>
      <c r="E583" s="6"/>
    </row>
    <row r="584" spans="2:5" ht="12.75">
      <c r="B584" s="6"/>
      <c r="C584" s="6"/>
      <c r="D584" s="6"/>
      <c r="E584" s="6"/>
    </row>
    <row r="585" spans="2:5" ht="12.75">
      <c r="B585" s="6"/>
      <c r="C585" s="6"/>
      <c r="D585" s="6"/>
      <c r="E585" s="6"/>
    </row>
    <row r="586" spans="2:5" ht="12.75">
      <c r="B586" s="6"/>
      <c r="C586" s="6"/>
      <c r="D586" s="6"/>
      <c r="E586" s="6"/>
    </row>
    <row r="587" spans="2:5" ht="12.75">
      <c r="B587" s="6"/>
      <c r="C587" s="6"/>
      <c r="D587" s="6"/>
      <c r="E587" s="6"/>
    </row>
    <row r="588" spans="2:5" ht="12.75">
      <c r="B588" s="6"/>
      <c r="C588" s="6"/>
      <c r="D588" s="6"/>
      <c r="E588" s="6"/>
    </row>
    <row r="589" spans="2:5" ht="12.75">
      <c r="B589" s="6"/>
      <c r="C589" s="6"/>
      <c r="D589" s="6"/>
      <c r="E589" s="6"/>
    </row>
    <row r="590" spans="2:5" ht="12.75">
      <c r="B590" s="6"/>
      <c r="C590" s="6"/>
      <c r="D590" s="6"/>
      <c r="E590" s="6"/>
    </row>
    <row r="591" spans="2:5" ht="12.75">
      <c r="B591" s="6"/>
      <c r="C591" s="6"/>
      <c r="D591" s="6"/>
      <c r="E591" s="6"/>
    </row>
    <row r="592" spans="2:5" ht="12.75">
      <c r="B592" s="6"/>
      <c r="C592" s="6"/>
      <c r="D592" s="6"/>
      <c r="E592" s="6"/>
    </row>
    <row r="593" spans="2:5" ht="12.75">
      <c r="B593" s="6"/>
      <c r="C593" s="6"/>
      <c r="D593" s="6"/>
      <c r="E593" s="6"/>
    </row>
    <row r="594" spans="2:5" ht="12.75">
      <c r="B594" s="6"/>
      <c r="C594" s="6"/>
      <c r="D594" s="6"/>
      <c r="E594" s="6"/>
    </row>
    <row r="595" spans="2:5" ht="12.75">
      <c r="B595" s="6"/>
      <c r="C595" s="6"/>
      <c r="D595" s="6"/>
      <c r="E595" s="6"/>
    </row>
    <row r="596" spans="2:5" ht="12.75">
      <c r="B596" s="6"/>
      <c r="C596" s="6"/>
      <c r="D596" s="6"/>
      <c r="E596" s="6"/>
    </row>
    <row r="597" spans="2:5" ht="12.75">
      <c r="B597" s="6"/>
      <c r="C597" s="6"/>
      <c r="D597" s="6"/>
      <c r="E597" s="6"/>
    </row>
    <row r="598" spans="2:5" ht="12.75">
      <c r="B598" s="6"/>
      <c r="C598" s="6"/>
      <c r="D598" s="6"/>
      <c r="E598" s="6"/>
    </row>
    <row r="599" spans="2:5" ht="12.75">
      <c r="B599" s="6"/>
      <c r="C599" s="6"/>
      <c r="D599" s="6"/>
      <c r="E599" s="6"/>
    </row>
    <row r="600" spans="2:5" ht="12.75">
      <c r="B600" s="6"/>
      <c r="C600" s="6"/>
      <c r="D600" s="6"/>
      <c r="E600" s="6"/>
    </row>
    <row r="601" spans="2:5" ht="12.75">
      <c r="B601" s="6"/>
      <c r="C601" s="6"/>
      <c r="D601" s="6"/>
      <c r="E601" s="6"/>
    </row>
    <row r="602" spans="2:5" ht="12.75">
      <c r="B602" s="6"/>
      <c r="C602" s="6"/>
      <c r="D602" s="6"/>
      <c r="E602" s="6"/>
    </row>
    <row r="603" spans="2:5" ht="12.75">
      <c r="B603" s="6"/>
      <c r="C603" s="6"/>
      <c r="D603" s="6"/>
      <c r="E603" s="6"/>
    </row>
    <row r="604" spans="2:5" ht="12.75">
      <c r="B604" s="6"/>
      <c r="C604" s="6"/>
      <c r="D604" s="6"/>
      <c r="E604" s="6"/>
    </row>
    <row r="605" spans="2:5" ht="12.75">
      <c r="B605" s="6"/>
      <c r="C605" s="6"/>
      <c r="D605" s="6"/>
      <c r="E605" s="6"/>
    </row>
    <row r="606" spans="2:5" ht="12.75">
      <c r="B606" s="6"/>
      <c r="C606" s="6"/>
      <c r="D606" s="6"/>
      <c r="E606" s="6"/>
    </row>
    <row r="607" spans="2:5" ht="12.75">
      <c r="B607" s="6"/>
      <c r="C607" s="6"/>
      <c r="D607" s="6"/>
      <c r="E607" s="6"/>
    </row>
    <row r="608" spans="2:5" ht="12.75">
      <c r="B608" s="6"/>
      <c r="C608" s="6"/>
      <c r="D608" s="6"/>
      <c r="E608" s="6"/>
    </row>
    <row r="609" spans="2:5" ht="12.75">
      <c r="B609" s="6"/>
      <c r="C609" s="6"/>
      <c r="D609" s="6"/>
      <c r="E609" s="6"/>
    </row>
    <row r="610" spans="2:5" ht="12.75">
      <c r="B610" s="6"/>
      <c r="C610" s="6"/>
      <c r="D610" s="6"/>
      <c r="E610" s="6"/>
    </row>
    <row r="611" spans="2:5" ht="12.75">
      <c r="B611" s="6"/>
      <c r="C611" s="6"/>
      <c r="D611" s="6"/>
      <c r="E611" s="6"/>
    </row>
    <row r="612" spans="2:5" ht="12.75">
      <c r="B612" s="6"/>
      <c r="C612" s="6"/>
      <c r="D612" s="6"/>
      <c r="E612" s="6"/>
    </row>
    <row r="613" spans="2:5" ht="12.75">
      <c r="B613" s="6"/>
      <c r="C613" s="6"/>
      <c r="D613" s="6"/>
      <c r="E613" s="6"/>
    </row>
    <row r="614" spans="2:5" ht="12.75">
      <c r="B614" s="6"/>
      <c r="C614" s="6"/>
      <c r="D614" s="6"/>
      <c r="E614" s="6"/>
    </row>
    <row r="615" spans="2:5" ht="12.75">
      <c r="B615" s="6"/>
      <c r="C615" s="6"/>
      <c r="D615" s="6"/>
      <c r="E615" s="6"/>
    </row>
    <row r="616" spans="2:5" ht="12.75">
      <c r="B616" s="6"/>
      <c r="C616" s="6"/>
      <c r="D616" s="6"/>
      <c r="E616" s="6"/>
    </row>
    <row r="617" spans="2:5" ht="12.75">
      <c r="B617" s="6"/>
      <c r="C617" s="6"/>
      <c r="D617" s="6"/>
      <c r="E617" s="6"/>
    </row>
    <row r="618" spans="2:3" ht="12.75">
      <c r="B618" s="6"/>
      <c r="C618" s="6"/>
    </row>
  </sheetData>
  <sheetProtection password="D076" sheet="1" objects="1" scenarios="1"/>
  <mergeCells count="5">
    <mergeCell ref="C43:H43"/>
    <mergeCell ref="C44:H44"/>
    <mergeCell ref="B1:G1"/>
    <mergeCell ref="E42:H42"/>
    <mergeCell ref="C42:D42"/>
  </mergeCells>
  <conditionalFormatting sqref="E42:H42">
    <cfRule type="expression" priority="1" dxfId="29" stopIfTrue="1">
      <formula>$C$42&lt;=0.05</formula>
    </cfRule>
    <cfRule type="expression" priority="2" dxfId="30" stopIfTrue="1">
      <formula>$C$42&lt;=0.15</formula>
    </cfRule>
    <cfRule type="expression" priority="3" dxfId="31" stopIfTrue="1">
      <formula>$C$42&gt;0.15</formula>
    </cfRule>
  </conditionalFormatting>
  <dataValidations count="7">
    <dataValidation type="whole" operator="greaterThanOrEqual" allowBlank="1" showInputMessage="1" showErrorMessage="1" sqref="C7:H7">
      <formula1>0</formula1>
    </dataValidation>
    <dataValidation type="decimal" operator="greaterThanOrEqual" allowBlank="1" showInputMessage="1" showErrorMessage="1" sqref="D8:H10 D16:H16 D22:H22 C28:H28 D19:H19 C8 D13:H13">
      <formula1>0</formula1>
    </dataValidation>
    <dataValidation type="list" allowBlank="1" showInputMessage="1" showErrorMessage="1" sqref="D20:H20">
      <formula1>дата</formula1>
    </dataValidation>
    <dataValidation type="decimal" operator="greaterThan" allowBlank="1" showInputMessage="1" showErrorMessage="1" prompt="Введите подряд величину площади квартиры и количество комнат" sqref="D31:H31">
      <formula1>0</formula1>
    </dataValidation>
    <dataValidation allowBlank="1" showInputMessage="1" showErrorMessage="1" promptTitle="Условия финансирования" prompt="В качестве аналогов предпочтительней использовать квартиры реализуемые на условиях единовременной оплаты. В случае иных условий оплаты, оценщик должен проанализировать различия в ценах квартир по данному показателю." sqref="E14:H14 C14"/>
    <dataValidation type="list" allowBlank="1" showInputMessage="1" showErrorMessage="1" prompt="Дата проверки актуальности представленной в отчете по аналогам информации должна быть близкой к дате оценки" sqref="C5:H5">
      <formula1>$J$2:$J$26</formula1>
    </dataValidation>
    <dataValidation type="list" allowBlank="1" showInputMessage="1" showErrorMessage="1" sqref="D17:H17">
      <formula1>торг</formula1>
    </dataValidation>
  </dataValidation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zoomScale="85" zoomScaleNormal="85" zoomScaleSheetLayoutView="100" zoomScalePageLayoutView="0" workbookViewId="0" topLeftCell="A1">
      <selection activeCell="E49" sqref="E49"/>
    </sheetView>
  </sheetViews>
  <sheetFormatPr defaultColWidth="17.140625" defaultRowHeight="45.75" customHeight="1"/>
  <cols>
    <col min="1" max="1" width="1.7109375" style="1" customWidth="1"/>
    <col min="2" max="2" width="34.00390625" style="1" customWidth="1"/>
    <col min="3" max="8" width="27.140625" style="1" customWidth="1"/>
    <col min="9" max="9" width="7.421875" style="1" customWidth="1"/>
    <col min="10" max="10" width="19.8515625" style="1" customWidth="1"/>
    <col min="11" max="11" width="12.8515625" style="1" customWidth="1"/>
    <col min="12" max="16384" width="17.140625" style="1" customWidth="1"/>
  </cols>
  <sheetData>
    <row r="1" spans="1:9" ht="13.5" thickBot="1">
      <c r="A1" s="455"/>
      <c r="B1" s="763" t="s">
        <v>301</v>
      </c>
      <c r="C1" s="772"/>
      <c r="D1" s="772"/>
      <c r="E1" s="772"/>
      <c r="F1" s="772"/>
      <c r="G1" s="772"/>
      <c r="H1" s="442" t="s">
        <v>161</v>
      </c>
      <c r="I1" s="455"/>
    </row>
    <row r="2" spans="1:9" ht="12.75">
      <c r="A2" s="455"/>
      <c r="B2" s="443" t="s">
        <v>24</v>
      </c>
      <c r="C2" s="425" t="s">
        <v>3</v>
      </c>
      <c r="D2" s="425" t="s">
        <v>0</v>
      </c>
      <c r="E2" s="425" t="s">
        <v>11</v>
      </c>
      <c r="F2" s="425" t="s">
        <v>1</v>
      </c>
      <c r="G2" s="425" t="s">
        <v>2</v>
      </c>
      <c r="H2" s="504" t="s">
        <v>22</v>
      </c>
      <c r="I2" s="455"/>
    </row>
    <row r="3" spans="1:9" ht="25.5">
      <c r="A3" s="455"/>
      <c r="B3" s="565" t="s">
        <v>35</v>
      </c>
      <c r="C3" s="557" t="s">
        <v>36</v>
      </c>
      <c r="D3" s="351" t="s">
        <v>284</v>
      </c>
      <c r="E3" s="351" t="s">
        <v>284</v>
      </c>
      <c r="F3" s="352" t="s">
        <v>421</v>
      </c>
      <c r="G3" s="351" t="s">
        <v>283</v>
      </c>
      <c r="H3" s="353" t="s">
        <v>283</v>
      </c>
      <c r="I3" s="455"/>
    </row>
    <row r="4" spans="1:9" ht="25.5">
      <c r="A4" s="455"/>
      <c r="B4" s="565" t="s">
        <v>43</v>
      </c>
      <c r="C4" s="557" t="s">
        <v>36</v>
      </c>
      <c r="D4" s="354" t="s">
        <v>295</v>
      </c>
      <c r="E4" s="354" t="s">
        <v>296</v>
      </c>
      <c r="F4" s="354" t="s">
        <v>297</v>
      </c>
      <c r="G4" s="354" t="s">
        <v>299</v>
      </c>
      <c r="H4" s="355" t="s">
        <v>300</v>
      </c>
      <c r="I4" s="455"/>
    </row>
    <row r="5" spans="1:9" ht="12.75">
      <c r="A5" s="455"/>
      <c r="B5" s="565" t="s">
        <v>369</v>
      </c>
      <c r="C5" s="557" t="s">
        <v>36</v>
      </c>
      <c r="D5" s="357">
        <v>3000</v>
      </c>
      <c r="E5" s="357">
        <v>2800</v>
      </c>
      <c r="F5" s="357">
        <v>2800</v>
      </c>
      <c r="G5" s="357">
        <v>3200</v>
      </c>
      <c r="H5" s="358">
        <v>3200</v>
      </c>
      <c r="I5" s="455"/>
    </row>
    <row r="6" spans="1:9" ht="12.75">
      <c r="A6" s="455"/>
      <c r="B6" s="565" t="s">
        <v>41</v>
      </c>
      <c r="C6" s="566">
        <f>к</f>
        <v>25.5455</v>
      </c>
      <c r="D6" s="524">
        <v>25.5455</v>
      </c>
      <c r="E6" s="524">
        <v>26</v>
      </c>
      <c r="F6" s="524">
        <v>25.5455</v>
      </c>
      <c r="G6" s="524">
        <v>25.5455</v>
      </c>
      <c r="H6" s="525">
        <v>25.5455</v>
      </c>
      <c r="I6" s="455"/>
    </row>
    <row r="7" spans="1:9" ht="12.75">
      <c r="A7" s="455"/>
      <c r="B7" s="505" t="s">
        <v>5</v>
      </c>
      <c r="C7" s="554" t="s">
        <v>36</v>
      </c>
      <c r="D7" s="567">
        <f>D6/$C6-1</f>
        <v>0</v>
      </c>
      <c r="E7" s="567">
        <f>E6/$C6-1</f>
        <v>0.017791783288641838</v>
      </c>
      <c r="F7" s="567">
        <f>F6/$C6-1</f>
        <v>0</v>
      </c>
      <c r="G7" s="567">
        <f>G6/$C6-1</f>
        <v>0</v>
      </c>
      <c r="H7" s="568">
        <f>H6/$C6-1</f>
        <v>0</v>
      </c>
      <c r="I7" s="455"/>
    </row>
    <row r="8" spans="1:9" ht="30" customHeight="1">
      <c r="A8" s="305"/>
      <c r="B8" s="505" t="s">
        <v>73</v>
      </c>
      <c r="C8" s="554" t="s">
        <v>36</v>
      </c>
      <c r="D8" s="550">
        <f>D5*(1+D7)</f>
        <v>3000</v>
      </c>
      <c r="E8" s="550">
        <f>E5*(1+E7)</f>
        <v>2849.8169932081973</v>
      </c>
      <c r="F8" s="550">
        <f>F5*(1+F7)</f>
        <v>2800</v>
      </c>
      <c r="G8" s="550">
        <f>G5*(1+G7)</f>
        <v>3200</v>
      </c>
      <c r="H8" s="551">
        <f>H5*(1+H7)</f>
        <v>3200</v>
      </c>
      <c r="I8" s="455"/>
    </row>
    <row r="9" spans="1:9" ht="12.75">
      <c r="A9" s="455"/>
      <c r="B9" s="505" t="s">
        <v>64</v>
      </c>
      <c r="C9" s="426" t="s">
        <v>65</v>
      </c>
      <c r="D9" s="290" t="s">
        <v>65</v>
      </c>
      <c r="E9" s="290" t="s">
        <v>65</v>
      </c>
      <c r="F9" s="290" t="s">
        <v>65</v>
      </c>
      <c r="G9" s="290" t="s">
        <v>65</v>
      </c>
      <c r="H9" s="331" t="s">
        <v>65</v>
      </c>
      <c r="I9" s="455"/>
    </row>
    <row r="10" spans="1:9" ht="12.75">
      <c r="A10" s="455"/>
      <c r="B10" s="505" t="s">
        <v>5</v>
      </c>
      <c r="C10" s="554" t="s">
        <v>36</v>
      </c>
      <c r="D10" s="532">
        <v>0</v>
      </c>
      <c r="E10" s="532">
        <v>0</v>
      </c>
      <c r="F10" s="532">
        <v>0</v>
      </c>
      <c r="G10" s="532">
        <v>0</v>
      </c>
      <c r="H10" s="533">
        <v>0</v>
      </c>
      <c r="I10" s="455"/>
    </row>
    <row r="11" spans="1:9" ht="12.75">
      <c r="A11" s="455"/>
      <c r="B11" s="505" t="s">
        <v>73</v>
      </c>
      <c r="C11" s="554" t="s">
        <v>36</v>
      </c>
      <c r="D11" s="550">
        <f>D8*(1+D10)</f>
        <v>3000</v>
      </c>
      <c r="E11" s="550">
        <f>E8*(1+E10)</f>
        <v>2849.8169932081973</v>
      </c>
      <c r="F11" s="550">
        <f>F8*(1+F10)</f>
        <v>2800</v>
      </c>
      <c r="G11" s="550">
        <f>G8*(1+G10)</f>
        <v>3200</v>
      </c>
      <c r="H11" s="550">
        <f>H8*(1+H10)</f>
        <v>3200</v>
      </c>
      <c r="I11" s="455"/>
    </row>
    <row r="12" spans="1:9" s="32" customFormat="1" ht="12.75">
      <c r="A12" s="502"/>
      <c r="B12" s="505" t="s">
        <v>37</v>
      </c>
      <c r="C12" s="426" t="s">
        <v>39</v>
      </c>
      <c r="D12" s="290" t="s">
        <v>39</v>
      </c>
      <c r="E12" s="290" t="s">
        <v>39</v>
      </c>
      <c r="F12" s="290" t="s">
        <v>39</v>
      </c>
      <c r="G12" s="290" t="s">
        <v>39</v>
      </c>
      <c r="H12" s="331" t="s">
        <v>39</v>
      </c>
      <c r="I12" s="502"/>
    </row>
    <row r="13" spans="1:9" s="32" customFormat="1" ht="12.75">
      <c r="A13" s="502"/>
      <c r="B13" s="505" t="s">
        <v>5</v>
      </c>
      <c r="C13" s="569" t="s">
        <v>36</v>
      </c>
      <c r="D13" s="534">
        <v>0</v>
      </c>
      <c r="E13" s="534">
        <v>0</v>
      </c>
      <c r="F13" s="534">
        <v>0</v>
      </c>
      <c r="G13" s="534">
        <v>0</v>
      </c>
      <c r="H13" s="535">
        <v>0</v>
      </c>
      <c r="I13" s="502"/>
    </row>
    <row r="14" spans="1:9" s="32" customFormat="1" ht="12.75">
      <c r="A14" s="502"/>
      <c r="B14" s="505" t="s">
        <v>73</v>
      </c>
      <c r="C14" s="554" t="s">
        <v>36</v>
      </c>
      <c r="D14" s="550">
        <f>D11*(1+D13)</f>
        <v>3000</v>
      </c>
      <c r="E14" s="550">
        <f>E11*(1+E13)</f>
        <v>2849.8169932081973</v>
      </c>
      <c r="F14" s="550">
        <f>F11*(1+F13)</f>
        <v>2800</v>
      </c>
      <c r="G14" s="550">
        <f>G11*(1+G13)</f>
        <v>3200</v>
      </c>
      <c r="H14" s="551">
        <f>H11*(1+H13)</f>
        <v>3200</v>
      </c>
      <c r="I14" s="502"/>
    </row>
    <row r="15" spans="1:9" ht="12.75">
      <c r="A15" s="455"/>
      <c r="B15" s="505" t="s">
        <v>76</v>
      </c>
      <c r="C15" s="557" t="s">
        <v>36</v>
      </c>
      <c r="D15" s="228" t="s">
        <v>351</v>
      </c>
      <c r="E15" s="228" t="s">
        <v>413</v>
      </c>
      <c r="F15" s="228" t="s">
        <v>351</v>
      </c>
      <c r="G15" s="228" t="s">
        <v>351</v>
      </c>
      <c r="H15" s="335" t="s">
        <v>351</v>
      </c>
      <c r="I15" s="455"/>
    </row>
    <row r="16" spans="1:9" ht="12.75">
      <c r="A16" s="455"/>
      <c r="B16" s="505" t="s">
        <v>5</v>
      </c>
      <c r="C16" s="557" t="s">
        <v>36</v>
      </c>
      <c r="D16" s="532">
        <v>-0.05</v>
      </c>
      <c r="E16" s="532">
        <v>0</v>
      </c>
      <c r="F16" s="532">
        <v>-0.05</v>
      </c>
      <c r="G16" s="532">
        <v>-0.05</v>
      </c>
      <c r="H16" s="533">
        <v>-0.05</v>
      </c>
      <c r="I16" s="455"/>
    </row>
    <row r="17" spans="1:9" ht="12.75">
      <c r="A17" s="455"/>
      <c r="B17" s="505" t="s">
        <v>73</v>
      </c>
      <c r="C17" s="557"/>
      <c r="D17" s="550">
        <f>D14*(1+D16)</f>
        <v>2850</v>
      </c>
      <c r="E17" s="550">
        <f>E14*(1+E16)</f>
        <v>2849.8169932081973</v>
      </c>
      <c r="F17" s="550">
        <f>F14*(1+F16)</f>
        <v>2660</v>
      </c>
      <c r="G17" s="550">
        <f>G14*(1+G16)</f>
        <v>3040</v>
      </c>
      <c r="H17" s="551">
        <f>H14*(1+H16)</f>
        <v>3040</v>
      </c>
      <c r="I17" s="455"/>
    </row>
    <row r="18" spans="1:9" ht="12.75">
      <c r="A18" s="455"/>
      <c r="B18" s="505" t="s">
        <v>38</v>
      </c>
      <c r="C18" s="548">
        <f>ДО</f>
        <v>39327</v>
      </c>
      <c r="D18" s="215" t="s">
        <v>321</v>
      </c>
      <c r="E18" s="215" t="s">
        <v>321</v>
      </c>
      <c r="F18" s="215" t="s">
        <v>321</v>
      </c>
      <c r="G18" s="215" t="s">
        <v>321</v>
      </c>
      <c r="H18" s="336" t="s">
        <v>321</v>
      </c>
      <c r="I18" s="455"/>
    </row>
    <row r="19" spans="1:9" ht="12.75">
      <c r="A19" s="455"/>
      <c r="B19" s="505" t="s">
        <v>5</v>
      </c>
      <c r="C19" s="557" t="s">
        <v>36</v>
      </c>
      <c r="D19" s="532">
        <v>0</v>
      </c>
      <c r="E19" s="532">
        <v>0</v>
      </c>
      <c r="F19" s="532">
        <v>0</v>
      </c>
      <c r="G19" s="532">
        <v>0</v>
      </c>
      <c r="H19" s="533">
        <v>0</v>
      </c>
      <c r="I19" s="455"/>
    </row>
    <row r="20" spans="1:9" ht="12.75">
      <c r="A20" s="455"/>
      <c r="B20" s="505" t="s">
        <v>73</v>
      </c>
      <c r="C20" s="557" t="s">
        <v>36</v>
      </c>
      <c r="D20" s="550">
        <f>D17*(1+D19)</f>
        <v>2850</v>
      </c>
      <c r="E20" s="550">
        <f>E17*(1+E19)</f>
        <v>2849.8169932081973</v>
      </c>
      <c r="F20" s="550">
        <f>F17*(1+F19)</f>
        <v>2660</v>
      </c>
      <c r="G20" s="550">
        <f>G17*(1+G19)</f>
        <v>3040</v>
      </c>
      <c r="H20" s="551">
        <f>H17*(1+H19)</f>
        <v>3040</v>
      </c>
      <c r="I20" s="455"/>
    </row>
    <row r="21" spans="1:9" ht="38.25">
      <c r="A21" s="455"/>
      <c r="B21" s="565" t="s">
        <v>4</v>
      </c>
      <c r="C21" s="359" t="s">
        <v>286</v>
      </c>
      <c r="D21" s="359" t="s">
        <v>423</v>
      </c>
      <c r="E21" s="359" t="s">
        <v>288</v>
      </c>
      <c r="F21" s="359" t="s">
        <v>424</v>
      </c>
      <c r="G21" s="359" t="s">
        <v>290</v>
      </c>
      <c r="H21" s="360" t="s">
        <v>425</v>
      </c>
      <c r="I21" s="455"/>
    </row>
    <row r="22" spans="1:9" ht="12.75">
      <c r="A22" s="455"/>
      <c r="B22" s="505" t="s">
        <v>5</v>
      </c>
      <c r="C22" s="557" t="s">
        <v>36</v>
      </c>
      <c r="D22" s="532">
        <v>0</v>
      </c>
      <c r="E22" s="532">
        <v>-0.05</v>
      </c>
      <c r="F22" s="532">
        <v>0</v>
      </c>
      <c r="G22" s="532">
        <v>0</v>
      </c>
      <c r="H22" s="533">
        <v>0</v>
      </c>
      <c r="I22" s="455"/>
    </row>
    <row r="23" spans="1:9" ht="25.5">
      <c r="A23" s="455"/>
      <c r="B23" s="565" t="s">
        <v>355</v>
      </c>
      <c r="C23" s="359" t="s">
        <v>341</v>
      </c>
      <c r="D23" s="361" t="s">
        <v>341</v>
      </c>
      <c r="E23" s="361" t="s">
        <v>341</v>
      </c>
      <c r="F23" s="361" t="s">
        <v>341</v>
      </c>
      <c r="G23" s="361" t="s">
        <v>342</v>
      </c>
      <c r="H23" s="362" t="s">
        <v>341</v>
      </c>
      <c r="I23" s="455"/>
    </row>
    <row r="24" spans="1:9" ht="12.75">
      <c r="A24" s="455"/>
      <c r="B24" s="505" t="s">
        <v>5</v>
      </c>
      <c r="C24" s="557" t="s">
        <v>36</v>
      </c>
      <c r="D24" s="532">
        <v>0</v>
      </c>
      <c r="E24" s="532">
        <v>0</v>
      </c>
      <c r="F24" s="532">
        <v>0</v>
      </c>
      <c r="G24" s="532">
        <v>-0.05</v>
      </c>
      <c r="H24" s="533">
        <v>0</v>
      </c>
      <c r="I24" s="455"/>
    </row>
    <row r="25" spans="1:9" ht="12.75">
      <c r="A25" s="455"/>
      <c r="B25" s="565" t="s">
        <v>78</v>
      </c>
      <c r="C25" s="363" t="s">
        <v>344</v>
      </c>
      <c r="D25" s="216" t="s">
        <v>344</v>
      </c>
      <c r="E25" s="216" t="s">
        <v>434</v>
      </c>
      <c r="F25" s="216" t="s">
        <v>344</v>
      </c>
      <c r="G25" s="216" t="s">
        <v>344</v>
      </c>
      <c r="H25" s="338" t="s">
        <v>344</v>
      </c>
      <c r="I25" s="455"/>
    </row>
    <row r="26" spans="1:9" ht="12.75">
      <c r="A26" s="455"/>
      <c r="B26" s="505" t="s">
        <v>5</v>
      </c>
      <c r="C26" s="570" t="s">
        <v>36</v>
      </c>
      <c r="D26" s="567">
        <v>0</v>
      </c>
      <c r="E26" s="567">
        <v>0.05</v>
      </c>
      <c r="F26" s="567">
        <v>0</v>
      </c>
      <c r="G26" s="567">
        <v>0</v>
      </c>
      <c r="H26" s="568">
        <v>0</v>
      </c>
      <c r="I26" s="455"/>
    </row>
    <row r="27" spans="1:9" ht="12.75">
      <c r="A27" s="455"/>
      <c r="B27" s="565" t="s">
        <v>40</v>
      </c>
      <c r="C27" s="363" t="s">
        <v>340</v>
      </c>
      <c r="D27" s="217" t="s">
        <v>340</v>
      </c>
      <c r="E27" s="217" t="s">
        <v>340</v>
      </c>
      <c r="F27" s="217" t="s">
        <v>340</v>
      </c>
      <c r="G27" s="217" t="s">
        <v>340</v>
      </c>
      <c r="H27" s="237" t="s">
        <v>340</v>
      </c>
      <c r="I27" s="455"/>
    </row>
    <row r="28" spans="1:9" ht="27.75" customHeight="1">
      <c r="A28" s="455"/>
      <c r="B28" s="565" t="s">
        <v>373</v>
      </c>
      <c r="C28" s="364">
        <v>1</v>
      </c>
      <c r="D28" s="364">
        <v>0.9</v>
      </c>
      <c r="E28" s="364">
        <v>0.9</v>
      </c>
      <c r="F28" s="364">
        <v>0.75</v>
      </c>
      <c r="G28" s="364">
        <v>1</v>
      </c>
      <c r="H28" s="365">
        <v>1</v>
      </c>
      <c r="I28" s="455"/>
    </row>
    <row r="29" spans="1:9" ht="12.75">
      <c r="A29" s="455"/>
      <c r="B29" s="505" t="s">
        <v>5</v>
      </c>
      <c r="C29" s="557" t="s">
        <v>36</v>
      </c>
      <c r="D29" s="532">
        <v>0.05</v>
      </c>
      <c r="E29" s="532">
        <v>0.05</v>
      </c>
      <c r="F29" s="532">
        <v>0.1</v>
      </c>
      <c r="G29" s="532">
        <v>0</v>
      </c>
      <c r="H29" s="533">
        <v>0</v>
      </c>
      <c r="I29" s="455"/>
    </row>
    <row r="30" spans="1:9" ht="12.75">
      <c r="A30" s="455"/>
      <c r="B30" s="565" t="s">
        <v>7</v>
      </c>
      <c r="C30" s="359" t="s">
        <v>42</v>
      </c>
      <c r="D30" s="359" t="s">
        <v>42</v>
      </c>
      <c r="E30" s="359" t="s">
        <v>42</v>
      </c>
      <c r="F30" s="359" t="s">
        <v>42</v>
      </c>
      <c r="G30" s="359" t="s">
        <v>42</v>
      </c>
      <c r="H30" s="360" t="s">
        <v>42</v>
      </c>
      <c r="I30" s="455"/>
    </row>
    <row r="31" spans="1:9" ht="12.75">
      <c r="A31" s="455"/>
      <c r="B31" s="565" t="s">
        <v>9</v>
      </c>
      <c r="C31" s="223" t="s">
        <v>302</v>
      </c>
      <c r="D31" s="223" t="s">
        <v>419</v>
      </c>
      <c r="E31" s="223" t="s">
        <v>420</v>
      </c>
      <c r="F31" s="223" t="s">
        <v>302</v>
      </c>
      <c r="G31" s="223" t="s">
        <v>302</v>
      </c>
      <c r="H31" s="366" t="s">
        <v>302</v>
      </c>
      <c r="I31" s="455"/>
    </row>
    <row r="32" spans="1:9" ht="12.75">
      <c r="A32" s="455"/>
      <c r="B32" s="505" t="s">
        <v>5</v>
      </c>
      <c r="C32" s="560" t="s">
        <v>36</v>
      </c>
      <c r="D32" s="532">
        <v>0</v>
      </c>
      <c r="E32" s="532">
        <v>0.2</v>
      </c>
      <c r="F32" s="532">
        <v>0</v>
      </c>
      <c r="G32" s="532">
        <v>0</v>
      </c>
      <c r="H32" s="533">
        <v>0</v>
      </c>
      <c r="I32" s="455"/>
    </row>
    <row r="33" spans="1:9" ht="12.75">
      <c r="A33" s="455"/>
      <c r="B33" s="565" t="s">
        <v>388</v>
      </c>
      <c r="C33" s="359" t="s">
        <v>330</v>
      </c>
      <c r="D33" s="359" t="s">
        <v>330</v>
      </c>
      <c r="E33" s="359" t="s">
        <v>330</v>
      </c>
      <c r="F33" s="359" t="s">
        <v>330</v>
      </c>
      <c r="G33" s="359" t="s">
        <v>330</v>
      </c>
      <c r="H33" s="360" t="s">
        <v>330</v>
      </c>
      <c r="I33" s="455"/>
    </row>
    <row r="34" spans="1:9" ht="12.75">
      <c r="A34" s="455"/>
      <c r="B34" s="505" t="s">
        <v>5</v>
      </c>
      <c r="C34" s="570" t="s">
        <v>36</v>
      </c>
      <c r="D34" s="532">
        <v>0</v>
      </c>
      <c r="E34" s="532">
        <v>0</v>
      </c>
      <c r="F34" s="532">
        <v>0</v>
      </c>
      <c r="G34" s="532">
        <v>0</v>
      </c>
      <c r="H34" s="533">
        <v>0</v>
      </c>
      <c r="I34" s="455"/>
    </row>
    <row r="35" spans="1:9" ht="12.75">
      <c r="A35" s="455"/>
      <c r="B35" s="565" t="s">
        <v>8</v>
      </c>
      <c r="C35" s="359" t="s">
        <v>12</v>
      </c>
      <c r="D35" s="359" t="s">
        <v>12</v>
      </c>
      <c r="E35" s="359" t="s">
        <v>12</v>
      </c>
      <c r="F35" s="359" t="s">
        <v>12</v>
      </c>
      <c r="G35" s="359" t="s">
        <v>337</v>
      </c>
      <c r="H35" s="360" t="s">
        <v>12</v>
      </c>
      <c r="I35" s="455"/>
    </row>
    <row r="36" spans="1:9" ht="12.75">
      <c r="A36" s="455"/>
      <c r="B36" s="505" t="s">
        <v>432</v>
      </c>
      <c r="C36" s="560" t="s">
        <v>36</v>
      </c>
      <c r="D36" s="249">
        <v>0</v>
      </c>
      <c r="E36" s="249">
        <v>0</v>
      </c>
      <c r="F36" s="249">
        <v>0</v>
      </c>
      <c r="G36" s="249">
        <v>-200</v>
      </c>
      <c r="H36" s="333">
        <v>0</v>
      </c>
      <c r="I36" s="455"/>
    </row>
    <row r="37" spans="1:9" ht="12.75">
      <c r="A37" s="455"/>
      <c r="B37" s="505" t="s">
        <v>5</v>
      </c>
      <c r="C37" s="560"/>
      <c r="D37" s="571">
        <f>D36/D20</f>
        <v>0</v>
      </c>
      <c r="E37" s="571">
        <f>E36/E20</f>
        <v>0</v>
      </c>
      <c r="F37" s="571">
        <f>F36/F20</f>
        <v>0</v>
      </c>
      <c r="G37" s="571">
        <f>G36/G20</f>
        <v>-0.06578947368421052</v>
      </c>
      <c r="H37" s="572">
        <f>H36/H20</f>
        <v>0</v>
      </c>
      <c r="I37" s="455"/>
    </row>
    <row r="38" spans="1:9" ht="12.75">
      <c r="A38" s="455"/>
      <c r="B38" s="565" t="s">
        <v>73</v>
      </c>
      <c r="C38" s="554" t="s">
        <v>36</v>
      </c>
      <c r="D38" s="573">
        <f>D20*(1+D22)*(1+D24)*(1+D26)*(1+D29)*(1+D32)*(1+D34)*(1+D37)</f>
        <v>2992.5</v>
      </c>
      <c r="E38" s="573">
        <f>E20*(1+E22)*(1+E24)*(1+E26)*(1+E29)*(1+E32)*(1+E34)*(1+E37)</f>
        <v>3581.792487913723</v>
      </c>
      <c r="F38" s="573">
        <f>F20*(1+F22)*(1+F24)*(1+F26)*(1+F29)*(1+F32)*(1+F34)*(1+F37)</f>
        <v>2926.0000000000005</v>
      </c>
      <c r="G38" s="573">
        <f>G20*(1+G22)*(1+G24)*(1+G26)*(1+G29)*(1+G32)*(1+G34)*(1+G37)</f>
        <v>2698</v>
      </c>
      <c r="H38" s="574">
        <f>H20*(1+H22)*(1+H24)*(1+H26)*(1+H29)*(1+H32)*(1+H34)*(1+H37)</f>
        <v>3040</v>
      </c>
      <c r="I38" s="455"/>
    </row>
    <row r="39" spans="1:9" ht="12.75">
      <c r="A39" s="455"/>
      <c r="B39" s="565" t="s">
        <v>431</v>
      </c>
      <c r="C39" s="554" t="s">
        <v>36</v>
      </c>
      <c r="D39" s="575">
        <f>ABS(D7)+ABS(D10)+ABS(D13)+ABS(D16)+ABS(D19)+ABS(D22)+ABS(D24)+ABS(D26)+ABS(D29)+ABS(D32)+ABS(D34)+ABS(D37)</f>
        <v>0.1</v>
      </c>
      <c r="E39" s="575">
        <f>ABS(E7)+ABS(E10)+ABS(E13)+ABS(E16)+ABS(E19)+ABS(E22)+ABS(E24)+ABS(E26)+ABS(E29)+ABS(E32)+ABS(E34)+ABS(E37)</f>
        <v>0.36779178328864187</v>
      </c>
      <c r="F39" s="575">
        <f>ABS(F7)+ABS(F10)+ABS(F13)+ABS(F16)+ABS(F19)+ABS(F22)+ABS(F24)+ABS(F26)+ABS(F29)+ABS(F32)+ABS(F34)+ABS(F37)</f>
        <v>0.15000000000000002</v>
      </c>
      <c r="G39" s="575">
        <f>ABS(G7)+ABS(G10)+ABS(G13)+ABS(G16)+ABS(G19)+ABS(G22)+ABS(G24)+ABS(G26)+ABS(G29)+ABS(G32)+ABS(G34)+ABS(G37)</f>
        <v>0.16578947368421054</v>
      </c>
      <c r="H39" s="576">
        <f>ABS(H7)+ABS(H10)+ABS(H13)+ABS(H16)+ABS(H19)+ABS(H22)+ABS(H24)+ABS(H26)+ABS(H29)+ABS(H32)+ABS(H34)+ABS(H37)</f>
        <v>0.05</v>
      </c>
      <c r="I39" s="455"/>
    </row>
    <row r="40" spans="1:9" ht="12.75">
      <c r="A40" s="455"/>
      <c r="B40" s="565" t="s">
        <v>433</v>
      </c>
      <c r="C40" s="554"/>
      <c r="D40" s="575">
        <f>IF($C41&gt;0.15,0,ROUND((1-D39/SUM($D39:$H39))/4,2))</f>
        <v>0.22</v>
      </c>
      <c r="E40" s="577">
        <f>IF($C41&gt;0.15,0,ROUND((1-E39/SUM($D39:$H39))/4,2))</f>
        <v>0.14</v>
      </c>
      <c r="F40" s="577">
        <f>IF($C41&gt;0.15,0,ROUND((1-F39/SUM($D39:$H39))/4,2))</f>
        <v>0.21</v>
      </c>
      <c r="G40" s="577">
        <f>IF($C41&gt;0.15,0,ROUND((1-G39/SUM($D39:$H39))/4,2))</f>
        <v>0.2</v>
      </c>
      <c r="H40" s="578">
        <f>IF($C41&gt;0.15,0,ROUND(1-SUM(D40:G40),2))</f>
        <v>0.23</v>
      </c>
      <c r="I40" s="455"/>
    </row>
    <row r="41" spans="1:9" ht="12.75">
      <c r="A41" s="455"/>
      <c r="B41" s="565" t="s">
        <v>356</v>
      </c>
      <c r="C41" s="776">
        <f>STDEV(D38:H38)/AVERAGE(D38:H38)</f>
        <v>0.10701240794100551</v>
      </c>
      <c r="D41" s="777"/>
      <c r="E41" s="773" t="str">
        <f>IF(C41&lt;=0.05,"Величина коэффициента вариации соответствует требуемому значению - до 15 %",IF(C41&lt;=0.15,"Величина коэффициента вариации удовлетворяет требуемому значению - до 15%",IF(C41&gt;0.15,"Величина коэффициента вариации выше требуемого значения - до 15%")))</f>
        <v>Величина коэффициента вариации удовлетворяет требуемому значению - до 15%</v>
      </c>
      <c r="F41" s="774"/>
      <c r="G41" s="774"/>
      <c r="H41" s="775"/>
      <c r="I41" s="455"/>
    </row>
    <row r="42" spans="1:9" ht="25.5">
      <c r="A42" s="455"/>
      <c r="B42" s="565" t="s">
        <v>439</v>
      </c>
      <c r="C42" s="758">
        <f>ROUND((D38*D40+E38*E40+F38*F40+G38*G40+H38*H40),-1)</f>
        <v>3010</v>
      </c>
      <c r="D42" s="758"/>
      <c r="E42" s="758"/>
      <c r="F42" s="758"/>
      <c r="G42" s="758"/>
      <c r="H42" s="759"/>
      <c r="I42" s="455"/>
    </row>
    <row r="43" spans="1:9" ht="26.25" thickBot="1">
      <c r="A43" s="455"/>
      <c r="B43" s="564" t="s">
        <v>440</v>
      </c>
      <c r="C43" s="770">
        <f>C42*'Исходные данные'!E12</f>
        <v>60200000</v>
      </c>
      <c r="D43" s="770"/>
      <c r="E43" s="770"/>
      <c r="F43" s="770"/>
      <c r="G43" s="770">
        <v>5800</v>
      </c>
      <c r="H43" s="771"/>
      <c r="I43" s="455"/>
    </row>
    <row r="44" spans="1:9" ht="12.75">
      <c r="A44" s="455"/>
      <c r="B44" s="455"/>
      <c r="C44" s="455"/>
      <c r="D44" s="455"/>
      <c r="E44" s="455"/>
      <c r="F44" s="455"/>
      <c r="G44" s="455"/>
      <c r="H44" s="455"/>
      <c r="I44" s="455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</sheetData>
  <sheetProtection password="D076" sheet="1" objects="1" scenarios="1"/>
  <mergeCells count="5">
    <mergeCell ref="C42:H42"/>
    <mergeCell ref="C43:H43"/>
    <mergeCell ref="B1:G1"/>
    <mergeCell ref="E41:H41"/>
    <mergeCell ref="C41:D41"/>
  </mergeCells>
  <conditionalFormatting sqref="E41:H41">
    <cfRule type="expression" priority="1" dxfId="29" stopIfTrue="1">
      <formula>$C$41&lt;=0.05</formula>
    </cfRule>
    <cfRule type="expression" priority="2" dxfId="30" stopIfTrue="1">
      <formula>$C$41&lt;=0.15</formula>
    </cfRule>
    <cfRule type="expression" priority="3" dxfId="31" stopIfTrue="1">
      <formula>$C$41&gt;0.15</formula>
    </cfRule>
  </conditionalFormatting>
  <dataValidations count="5">
    <dataValidation type="whole" operator="greaterThanOrEqual" allowBlank="1" showInputMessage="1" showErrorMessage="1" sqref="D5:H5">
      <formula1>0</formula1>
    </dataValidation>
    <dataValidation type="decimal" operator="greaterThanOrEqual" allowBlank="1" showInputMessage="1" showErrorMessage="1" sqref="D17:H17 D8:H8 C28:H29 D13:H14 C19 D19:H20 C6:H6 D10:H11">
      <formula1>0</formula1>
    </dataValidation>
    <dataValidation type="list" allowBlank="1" showInputMessage="1" showErrorMessage="1" sqref="D18:H18">
      <formula1>дата</formula1>
    </dataValidation>
    <dataValidation type="list" allowBlank="1" showInputMessage="1" showErrorMessage="1" sqref="D15:H15">
      <formula1>торг</formula1>
    </dataValidation>
    <dataValidation type="list" allowBlank="1" showInputMessage="1" showErrorMessage="1" sqref="C25:H25">
      <formula1>проход</formula1>
    </dataValidation>
  </dataValidations>
  <hyperlinks>
    <hyperlink ref="G4" r:id="rId1" display="http://www.mian.ru/Houses/HouseInfo.aspx?ObjID=458976"/>
    <hyperlink ref="H4" r:id="rId2" display="http://www.mian.ru/Houses/HouseInfo.aspx?ObjID=259458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1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9"/>
  <sheetViews>
    <sheetView zoomScale="90" zoomScaleNormal="90" zoomScalePageLayoutView="0" workbookViewId="0" topLeftCell="A1">
      <selection activeCell="F43" sqref="F43"/>
    </sheetView>
  </sheetViews>
  <sheetFormatPr defaultColWidth="17.140625" defaultRowHeight="45.75" customHeight="1"/>
  <cols>
    <col min="1" max="1" width="1.7109375" style="502" customWidth="1"/>
    <col min="2" max="2" width="34.28125" style="502" customWidth="1"/>
    <col min="3" max="3" width="25.00390625" style="502" customWidth="1"/>
    <col min="4" max="4" width="25.421875" style="502" customWidth="1"/>
    <col min="5" max="5" width="25.8515625" style="502" customWidth="1"/>
    <col min="6" max="8" width="25.00390625" style="502" customWidth="1"/>
    <col min="9" max="9" width="18.140625" style="502" customWidth="1"/>
    <col min="10" max="10" width="17.140625" style="502" customWidth="1"/>
    <col min="11" max="11" width="16.57421875" style="502" customWidth="1"/>
    <col min="12" max="16384" width="17.140625" style="502" customWidth="1"/>
  </cols>
  <sheetData>
    <row r="1" spans="2:8" ht="13.5" thickBot="1">
      <c r="B1" s="778" t="s">
        <v>466</v>
      </c>
      <c r="C1" s="779"/>
      <c r="D1" s="779"/>
      <c r="E1" s="779"/>
      <c r="F1" s="779"/>
      <c r="G1" s="779"/>
      <c r="H1" s="442" t="s">
        <v>162</v>
      </c>
    </row>
    <row r="2" spans="2:8" ht="12.75">
      <c r="B2" s="503" t="s">
        <v>24</v>
      </c>
      <c r="C2" s="425" t="s">
        <v>3</v>
      </c>
      <c r="D2" s="425" t="s">
        <v>0</v>
      </c>
      <c r="E2" s="425" t="s">
        <v>11</v>
      </c>
      <c r="F2" s="425" t="s">
        <v>1</v>
      </c>
      <c r="G2" s="425" t="s">
        <v>2</v>
      </c>
      <c r="H2" s="504" t="s">
        <v>22</v>
      </c>
    </row>
    <row r="3" spans="2:8" ht="25.5">
      <c r="B3" s="505" t="s">
        <v>35</v>
      </c>
      <c r="C3" s="547"/>
      <c r="D3" s="219" t="s">
        <v>284</v>
      </c>
      <c r="E3" s="219" t="s">
        <v>284</v>
      </c>
      <c r="F3" s="219" t="s">
        <v>285</v>
      </c>
      <c r="G3" s="219" t="s">
        <v>283</v>
      </c>
      <c r="H3" s="233" t="s">
        <v>283</v>
      </c>
    </row>
    <row r="4" spans="2:8" ht="25.5">
      <c r="B4" s="505" t="s">
        <v>43</v>
      </c>
      <c r="C4" s="547"/>
      <c r="D4" s="231" t="s">
        <v>246</v>
      </c>
      <c r="E4" s="231" t="s">
        <v>247</v>
      </c>
      <c r="F4" s="231" t="s">
        <v>250</v>
      </c>
      <c r="G4" s="231" t="s">
        <v>248</v>
      </c>
      <c r="H4" s="234" t="s">
        <v>298</v>
      </c>
    </row>
    <row r="5" spans="2:8" ht="12.75">
      <c r="B5" s="505" t="s">
        <v>430</v>
      </c>
      <c r="C5" s="549" t="s">
        <v>36</v>
      </c>
      <c r="D5" s="212">
        <v>38000</v>
      </c>
      <c r="E5" s="212">
        <v>37000</v>
      </c>
      <c r="F5" s="212">
        <v>35000</v>
      </c>
      <c r="G5" s="212">
        <v>30000</v>
      </c>
      <c r="H5" s="235">
        <v>40000</v>
      </c>
    </row>
    <row r="6" spans="2:8" ht="12.75">
      <c r="B6" s="505" t="s">
        <v>41</v>
      </c>
      <c r="C6" s="506">
        <f>к</f>
        <v>25.5455</v>
      </c>
      <c r="D6" s="524">
        <v>25.5455</v>
      </c>
      <c r="E6" s="524">
        <v>25.5455</v>
      </c>
      <c r="F6" s="524">
        <v>26</v>
      </c>
      <c r="G6" s="524">
        <v>25.5455</v>
      </c>
      <c r="H6" s="525">
        <v>25.5455</v>
      </c>
    </row>
    <row r="7" spans="2:8" ht="12.75">
      <c r="B7" s="505" t="s">
        <v>427</v>
      </c>
      <c r="C7" s="291" t="s">
        <v>36</v>
      </c>
      <c r="D7" s="545">
        <f>D6/$C6-1</f>
        <v>0</v>
      </c>
      <c r="E7" s="545">
        <f>E6/$C6-1</f>
        <v>0</v>
      </c>
      <c r="F7" s="545">
        <f>F6/$C6-1</f>
        <v>0.017791783288641838</v>
      </c>
      <c r="G7" s="545">
        <f>G6/$C6-1</f>
        <v>0</v>
      </c>
      <c r="H7" s="546">
        <f>H6/$C6-1</f>
        <v>0</v>
      </c>
    </row>
    <row r="8" spans="2:8" ht="25.5">
      <c r="B8" s="505" t="s">
        <v>429</v>
      </c>
      <c r="C8" s="549"/>
      <c r="D8" s="550">
        <f>D5*(1+D7)</f>
        <v>38000</v>
      </c>
      <c r="E8" s="550">
        <f>E5*(1+E7)</f>
        <v>37000</v>
      </c>
      <c r="F8" s="550">
        <f>F5*(1+F7)</f>
        <v>35622.71241510246</v>
      </c>
      <c r="G8" s="550">
        <f>G5*(1+G7)</f>
        <v>30000</v>
      </c>
      <c r="H8" s="551">
        <f>H5*(1+H7)</f>
        <v>40000</v>
      </c>
    </row>
    <row r="9" spans="2:8" s="455" customFormat="1" ht="12.75">
      <c r="B9" s="505" t="s">
        <v>64</v>
      </c>
      <c r="C9" s="213" t="s">
        <v>65</v>
      </c>
      <c r="D9" s="290" t="s">
        <v>65</v>
      </c>
      <c r="E9" s="290" t="s">
        <v>65</v>
      </c>
      <c r="F9" s="290" t="s">
        <v>65</v>
      </c>
      <c r="G9" s="290" t="s">
        <v>65</v>
      </c>
      <c r="H9" s="331" t="s">
        <v>65</v>
      </c>
    </row>
    <row r="10" spans="2:8" s="455" customFormat="1" ht="12.75">
      <c r="B10" s="505" t="s">
        <v>427</v>
      </c>
      <c r="C10" s="554" t="s">
        <v>36</v>
      </c>
      <c r="D10" s="532">
        <v>0</v>
      </c>
      <c r="E10" s="532">
        <v>0</v>
      </c>
      <c r="F10" s="532">
        <v>0</v>
      </c>
      <c r="G10" s="532">
        <v>0</v>
      </c>
      <c r="H10" s="533">
        <v>0</v>
      </c>
    </row>
    <row r="11" spans="2:8" s="455" customFormat="1" ht="30" customHeight="1">
      <c r="B11" s="505" t="s">
        <v>429</v>
      </c>
      <c r="C11" s="554" t="s">
        <v>36</v>
      </c>
      <c r="D11" s="550">
        <f>D8*(1+D10)</f>
        <v>38000</v>
      </c>
      <c r="E11" s="550">
        <f>E8*(1+E10)</f>
        <v>37000</v>
      </c>
      <c r="F11" s="550">
        <f>F8*(1+F10)</f>
        <v>35622.71241510246</v>
      </c>
      <c r="G11" s="550">
        <f>G8*(1+G10)</f>
        <v>30000</v>
      </c>
      <c r="H11" s="551">
        <f>H8*(1+H10)</f>
        <v>40000</v>
      </c>
    </row>
    <row r="12" spans="2:8" ht="12.75">
      <c r="B12" s="505" t="s">
        <v>37</v>
      </c>
      <c r="C12" s="213" t="s">
        <v>39</v>
      </c>
      <c r="D12" s="290" t="s">
        <v>39</v>
      </c>
      <c r="E12" s="290" t="s">
        <v>39</v>
      </c>
      <c r="F12" s="290" t="s">
        <v>39</v>
      </c>
      <c r="G12" s="290" t="s">
        <v>39</v>
      </c>
      <c r="H12" s="331" t="s">
        <v>39</v>
      </c>
    </row>
    <row r="13" spans="2:8" ht="12.75">
      <c r="B13" s="505" t="s">
        <v>427</v>
      </c>
      <c r="C13" s="569" t="s">
        <v>36</v>
      </c>
      <c r="D13" s="536">
        <v>0</v>
      </c>
      <c r="E13" s="536">
        <v>0</v>
      </c>
      <c r="F13" s="536">
        <v>0</v>
      </c>
      <c r="G13" s="536">
        <v>0</v>
      </c>
      <c r="H13" s="537">
        <v>0</v>
      </c>
    </row>
    <row r="14" spans="2:8" ht="12.75">
      <c r="B14" s="505" t="s">
        <v>73</v>
      </c>
      <c r="C14" s="554" t="s">
        <v>36</v>
      </c>
      <c r="D14" s="550">
        <f>D11/D24</f>
        <v>1520</v>
      </c>
      <c r="E14" s="550">
        <f>E11/E24</f>
        <v>1850</v>
      </c>
      <c r="F14" s="550">
        <f>F11/F24</f>
        <v>1548.8135832653245</v>
      </c>
      <c r="G14" s="550">
        <f>G11/G24</f>
        <v>1666.6666666666667</v>
      </c>
      <c r="H14" s="551">
        <f>H11/H24</f>
        <v>1739.1304347826087</v>
      </c>
    </row>
    <row r="15" spans="2:8" s="455" customFormat="1" ht="12.75">
      <c r="B15" s="505" t="s">
        <v>76</v>
      </c>
      <c r="C15" s="557" t="s">
        <v>36</v>
      </c>
      <c r="D15" s="228" t="s">
        <v>351</v>
      </c>
      <c r="E15" s="228" t="s">
        <v>413</v>
      </c>
      <c r="F15" s="228" t="s">
        <v>351</v>
      </c>
      <c r="G15" s="228" t="s">
        <v>351</v>
      </c>
      <c r="H15" s="335" t="s">
        <v>351</v>
      </c>
    </row>
    <row r="16" spans="2:8" s="455" customFormat="1" ht="12.75">
      <c r="B16" s="505" t="s">
        <v>427</v>
      </c>
      <c r="C16" s="557" t="s">
        <v>36</v>
      </c>
      <c r="D16" s="532">
        <v>-0.05</v>
      </c>
      <c r="E16" s="532">
        <v>0</v>
      </c>
      <c r="F16" s="532">
        <v>-0.05</v>
      </c>
      <c r="G16" s="532">
        <v>-0.05</v>
      </c>
      <c r="H16" s="533">
        <v>-0.05</v>
      </c>
    </row>
    <row r="17" spans="2:8" s="455" customFormat="1" ht="12.75">
      <c r="B17" s="505" t="s">
        <v>73</v>
      </c>
      <c r="C17" s="557"/>
      <c r="D17" s="550">
        <f>D14*(1+D16)</f>
        <v>1444</v>
      </c>
      <c r="E17" s="550">
        <f>E14*(1+E16)</f>
        <v>1850</v>
      </c>
      <c r="F17" s="550">
        <f>F14*(1+F16)</f>
        <v>1471.372904102058</v>
      </c>
      <c r="G17" s="550">
        <f>G14*(1+G16)</f>
        <v>1583.3333333333333</v>
      </c>
      <c r="H17" s="551">
        <f>H14*(1+H16)</f>
        <v>1652.1739130434783</v>
      </c>
    </row>
    <row r="18" spans="2:8" s="455" customFormat="1" ht="12.75">
      <c r="B18" s="505" t="s">
        <v>38</v>
      </c>
      <c r="C18" s="548">
        <f>'Исходные данные'!E3</f>
        <v>39327</v>
      </c>
      <c r="D18" s="215" t="s">
        <v>321</v>
      </c>
      <c r="E18" s="215" t="s">
        <v>321</v>
      </c>
      <c r="F18" s="215" t="s">
        <v>321</v>
      </c>
      <c r="G18" s="215" t="s">
        <v>321</v>
      </c>
      <c r="H18" s="336" t="s">
        <v>321</v>
      </c>
    </row>
    <row r="19" spans="2:8" s="455" customFormat="1" ht="12.75">
      <c r="B19" s="505" t="s">
        <v>427</v>
      </c>
      <c r="C19" s="557" t="s">
        <v>36</v>
      </c>
      <c r="D19" s="532">
        <v>0</v>
      </c>
      <c r="E19" s="532">
        <v>0</v>
      </c>
      <c r="F19" s="532">
        <v>0</v>
      </c>
      <c r="G19" s="532">
        <v>0</v>
      </c>
      <c r="H19" s="533">
        <v>0</v>
      </c>
    </row>
    <row r="20" spans="2:8" s="455" customFormat="1" ht="12.75">
      <c r="B20" s="505" t="s">
        <v>73</v>
      </c>
      <c r="C20" s="557" t="s">
        <v>36</v>
      </c>
      <c r="D20" s="550">
        <f>D17*(1+D19)</f>
        <v>1444</v>
      </c>
      <c r="E20" s="550">
        <f>E17*(1+E19)</f>
        <v>1850</v>
      </c>
      <c r="F20" s="550">
        <f>F17*(1+F19)</f>
        <v>1471.372904102058</v>
      </c>
      <c r="G20" s="550">
        <f>G17*(1+G19)</f>
        <v>1583.3333333333333</v>
      </c>
      <c r="H20" s="551">
        <f>H17*(1+H19)</f>
        <v>1652.1739130434783</v>
      </c>
    </row>
    <row r="21" spans="2:8" ht="38.25">
      <c r="B21" s="505" t="s">
        <v>4</v>
      </c>
      <c r="C21" s="213" t="s">
        <v>286</v>
      </c>
      <c r="D21" s="213" t="s">
        <v>287</v>
      </c>
      <c r="E21" s="213" t="s">
        <v>288</v>
      </c>
      <c r="F21" s="213" t="s">
        <v>289</v>
      </c>
      <c r="G21" s="213" t="s">
        <v>290</v>
      </c>
      <c r="H21" s="236" t="s">
        <v>291</v>
      </c>
    </row>
    <row r="22" spans="2:8" ht="12.75">
      <c r="B22" s="505" t="s">
        <v>427</v>
      </c>
      <c r="C22" s="557" t="s">
        <v>36</v>
      </c>
      <c r="D22" s="532">
        <v>0</v>
      </c>
      <c r="E22" s="532">
        <v>-0.05</v>
      </c>
      <c r="F22" s="532">
        <v>0</v>
      </c>
      <c r="G22" s="532">
        <v>0</v>
      </c>
      <c r="H22" s="533">
        <v>0</v>
      </c>
    </row>
    <row r="23" spans="2:8" ht="25.5">
      <c r="B23" s="505" t="s">
        <v>44</v>
      </c>
      <c r="C23" s="232" t="s">
        <v>45</v>
      </c>
      <c r="D23" s="217" t="s">
        <v>45</v>
      </c>
      <c r="E23" s="217" t="s">
        <v>45</v>
      </c>
      <c r="F23" s="217" t="s">
        <v>45</v>
      </c>
      <c r="G23" s="217" t="s">
        <v>45</v>
      </c>
      <c r="H23" s="237" t="s">
        <v>45</v>
      </c>
    </row>
    <row r="24" spans="2:8" ht="12.75">
      <c r="B24" s="505" t="s">
        <v>308</v>
      </c>
      <c r="C24" s="421">
        <f>'Исходные данные'!E15</f>
        <v>22</v>
      </c>
      <c r="D24" s="422">
        <v>25</v>
      </c>
      <c r="E24" s="422">
        <v>20</v>
      </c>
      <c r="F24" s="422">
        <v>23</v>
      </c>
      <c r="G24" s="422">
        <v>18</v>
      </c>
      <c r="H24" s="423">
        <v>23</v>
      </c>
    </row>
    <row r="25" spans="2:8" ht="12.75">
      <c r="B25" s="505" t="s">
        <v>427</v>
      </c>
      <c r="C25" s="579" t="s">
        <v>36</v>
      </c>
      <c r="D25" s="532">
        <v>0</v>
      </c>
      <c r="E25" s="532">
        <v>0</v>
      </c>
      <c r="F25" s="532">
        <v>0</v>
      </c>
      <c r="G25" s="532">
        <v>0</v>
      </c>
      <c r="H25" s="533">
        <v>0</v>
      </c>
    </row>
    <row r="26" spans="2:8" ht="23.25" customHeight="1">
      <c r="B26" s="505" t="s">
        <v>336</v>
      </c>
      <c r="C26" s="292">
        <f>'Исходные данные'!E18</f>
        <v>1.2</v>
      </c>
      <c r="D26" s="247">
        <v>1</v>
      </c>
      <c r="E26" s="247">
        <v>2</v>
      </c>
      <c r="F26" s="247">
        <v>1</v>
      </c>
      <c r="G26" s="247">
        <v>2</v>
      </c>
      <c r="H26" s="248">
        <v>1</v>
      </c>
    </row>
    <row r="27" spans="2:8" ht="12.75">
      <c r="B27" s="505" t="s">
        <v>427</v>
      </c>
      <c r="C27" s="579"/>
      <c r="D27" s="532">
        <v>0</v>
      </c>
      <c r="E27" s="532">
        <v>0</v>
      </c>
      <c r="F27" s="532">
        <v>0</v>
      </c>
      <c r="G27" s="532">
        <v>0</v>
      </c>
      <c r="H27" s="533">
        <v>0</v>
      </c>
    </row>
    <row r="28" spans="2:8" ht="12.75">
      <c r="B28" s="505" t="s">
        <v>373</v>
      </c>
      <c r="C28" s="507">
        <v>1</v>
      </c>
      <c r="D28" s="214">
        <v>0.9</v>
      </c>
      <c r="E28" s="214">
        <v>0.9</v>
      </c>
      <c r="F28" s="214">
        <v>0.75</v>
      </c>
      <c r="G28" s="214">
        <v>1</v>
      </c>
      <c r="H28" s="238">
        <v>1</v>
      </c>
    </row>
    <row r="29" spans="2:8" ht="12.75">
      <c r="B29" s="505" t="s">
        <v>427</v>
      </c>
      <c r="C29" s="580" t="s">
        <v>36</v>
      </c>
      <c r="D29" s="534">
        <v>0.05</v>
      </c>
      <c r="E29" s="534">
        <v>0.05</v>
      </c>
      <c r="F29" s="534">
        <v>0.1</v>
      </c>
      <c r="G29" s="534">
        <v>0</v>
      </c>
      <c r="H29" s="535">
        <v>0</v>
      </c>
    </row>
    <row r="30" spans="2:8" ht="12.75">
      <c r="B30" s="505" t="s">
        <v>6</v>
      </c>
      <c r="C30" s="213" t="s">
        <v>23</v>
      </c>
      <c r="D30" s="213" t="s">
        <v>23</v>
      </c>
      <c r="E30" s="213" t="s">
        <v>23</v>
      </c>
      <c r="F30" s="213" t="s">
        <v>23</v>
      </c>
      <c r="G30" s="213" t="s">
        <v>23</v>
      </c>
      <c r="H30" s="236" t="s">
        <v>23</v>
      </c>
    </row>
    <row r="31" spans="2:8" ht="12.75">
      <c r="B31" s="505" t="s">
        <v>388</v>
      </c>
      <c r="C31" s="213" t="s">
        <v>330</v>
      </c>
      <c r="D31" s="213" t="s">
        <v>330</v>
      </c>
      <c r="E31" s="213" t="s">
        <v>330</v>
      </c>
      <c r="F31" s="213" t="s">
        <v>330</v>
      </c>
      <c r="G31" s="213" t="s">
        <v>330</v>
      </c>
      <c r="H31" s="236" t="s">
        <v>330</v>
      </c>
    </row>
    <row r="32" spans="2:8" ht="12.75">
      <c r="B32" s="505" t="s">
        <v>427</v>
      </c>
      <c r="C32" s="580" t="s">
        <v>36</v>
      </c>
      <c r="D32" s="534">
        <v>0</v>
      </c>
      <c r="E32" s="534">
        <v>0</v>
      </c>
      <c r="F32" s="534">
        <v>0</v>
      </c>
      <c r="G32" s="534">
        <v>0</v>
      </c>
      <c r="H32" s="535">
        <v>0</v>
      </c>
    </row>
    <row r="33" spans="2:8" ht="12.75">
      <c r="B33" s="505" t="s">
        <v>73</v>
      </c>
      <c r="C33" s="293" t="s">
        <v>36</v>
      </c>
      <c r="D33" s="508">
        <f>D20*(1+D22)*(1+D25)*(1+D27)*(1+D29)*(1+D32)</f>
        <v>1516.2</v>
      </c>
      <c r="E33" s="508">
        <f>E20*(1+E22)*(1+E25)*(1+E27)*(1+E29)*(1+E32)</f>
        <v>1845.375</v>
      </c>
      <c r="F33" s="508">
        <f>F20*(1+F22)*(1+F25)*(1+F27)*(1+F29)*(1+F32)</f>
        <v>1618.510194512264</v>
      </c>
      <c r="G33" s="508">
        <f>G20*(1+G22)*(1+G25)*(1+G27)*(1+G29)*(1+G32)</f>
        <v>1583.3333333333333</v>
      </c>
      <c r="H33" s="509">
        <f>H20*(1+H22)*(1+H25)*(1+H27)*(1+H29)*(1+H32)</f>
        <v>1652.1739130434783</v>
      </c>
    </row>
    <row r="34" spans="2:8" s="1" customFormat="1" ht="12.75">
      <c r="B34" s="565" t="s">
        <v>431</v>
      </c>
      <c r="C34" s="554" t="s">
        <v>36</v>
      </c>
      <c r="D34" s="575">
        <f>ABS(D7)+ABS(D10)+ABS(D13)+ABS(D16)+ABS(D19)+ABS(D22)+ABS(D25)+ABS(D27)+ABS(D29)+ABS(D32)</f>
        <v>0.1</v>
      </c>
      <c r="E34" s="575">
        <f>ABS(E7)+ABS(E10)+ABS(E13)+ABS(E16)+ABS(E19)+ABS(E22)+ABS(E25)+ABS(E27)+ABS(E29)+ABS(E32)</f>
        <v>0.1</v>
      </c>
      <c r="F34" s="575">
        <f>ABS(F7)+ABS(F10)+ABS(F13)+ABS(F16)+ABS(F19)+ABS(F22)+ABS(F25)+ABS(F27)+ABS(F29)+ABS(F32)</f>
        <v>0.16779178328864186</v>
      </c>
      <c r="G34" s="575">
        <f>ABS(G7)+ABS(G10)+ABS(G13)+ABS(G16)+ABS(G19)+ABS(G22)+ABS(G25)+ABS(G27)+ABS(G29)+ABS(G32)</f>
        <v>0.05</v>
      </c>
      <c r="H34" s="576">
        <f>ABS(H7)+ABS(H10)+ABS(H13)+ABS(H16)+ABS(H19)+ABS(H22)+ABS(H25)+ABS(H27)+ABS(H29)+ABS(H32)</f>
        <v>0.05</v>
      </c>
    </row>
    <row r="35" spans="2:8" s="1" customFormat="1" ht="12.75">
      <c r="B35" s="565" t="s">
        <v>433</v>
      </c>
      <c r="C35" s="554"/>
      <c r="D35" s="575">
        <f>IF($C36&gt;0.15,0,ROUND((1-D34/SUM($D34:$H34))/4,2))</f>
        <v>0.2</v>
      </c>
      <c r="E35" s="577">
        <f>IF($C36&gt;0.15,0,ROUND((1-E34/SUM($D34:$H34))/4,2))</f>
        <v>0.2</v>
      </c>
      <c r="F35" s="577">
        <f>IF($C36&gt;0.15,0,ROUND((1-F34/SUM($D34:$H34))/4,2))</f>
        <v>0.16</v>
      </c>
      <c r="G35" s="577">
        <f>IF($C36&gt;0.15,0,ROUND((1-G34/SUM($D34:$H34))/4,2))</f>
        <v>0.22</v>
      </c>
      <c r="H35" s="578">
        <f>IF($C36&gt;0.15,0,ROUND(1-SUM(D35:G35),2))</f>
        <v>0.22</v>
      </c>
    </row>
    <row r="36" spans="2:8" ht="12.75">
      <c r="B36" s="505" t="s">
        <v>356</v>
      </c>
      <c r="C36" s="776">
        <f>STDEV(D33:H33)/AVERAGE(D33:H33)</f>
        <v>0.07532737277974673</v>
      </c>
      <c r="D36" s="777"/>
      <c r="E36" s="773" t="str">
        <f>IF(C36&lt;=0.05,"Величина коэффициента вариации соответствует требуемому значению - до 15 %",IF(C36&lt;=0.15,"Величина коэффициента вариации удовлетворяет требуемому значению - до 15%",IF(C36&gt;0.15,"Величина коэффициента вариации выше требуемого значения - до 15%")))</f>
        <v>Величина коэффициента вариации удовлетворяет требуемому значению - до 15%</v>
      </c>
      <c r="F36" s="774"/>
      <c r="G36" s="774"/>
      <c r="H36" s="775"/>
    </row>
    <row r="37" spans="2:8" ht="27.75" customHeight="1">
      <c r="B37" s="565" t="s">
        <v>439</v>
      </c>
      <c r="C37" s="758">
        <f>ROUND((D33*D35+E33*E35+F34*F35+G33*G35+H33*H35),-1)</f>
        <v>1380</v>
      </c>
      <c r="D37" s="758"/>
      <c r="E37" s="758"/>
      <c r="F37" s="758"/>
      <c r="G37" s="758"/>
      <c r="H37" s="759"/>
    </row>
    <row r="38" spans="2:8" ht="28.5" customHeight="1">
      <c r="B38" s="510" t="s">
        <v>441</v>
      </c>
      <c r="C38" s="758">
        <f>ROUND(C37*C24,-2)</f>
        <v>30400</v>
      </c>
      <c r="D38" s="780"/>
      <c r="E38" s="780"/>
      <c r="F38" s="780"/>
      <c r="G38" s="780"/>
      <c r="H38" s="781"/>
    </row>
    <row r="39" spans="2:8" ht="26.25" thickBot="1">
      <c r="B39" s="511" t="s">
        <v>467</v>
      </c>
      <c r="C39" s="770">
        <f>C38*'Исходные данные'!E14</f>
        <v>17358400</v>
      </c>
      <c r="D39" s="770"/>
      <c r="E39" s="770"/>
      <c r="F39" s="770"/>
      <c r="G39" s="770"/>
      <c r="H39" s="771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</sheetData>
  <sheetProtection password="D076" sheet="1" objects="1" scenarios="1"/>
  <mergeCells count="6">
    <mergeCell ref="C37:H37"/>
    <mergeCell ref="C39:H39"/>
    <mergeCell ref="B1:G1"/>
    <mergeCell ref="C38:H38"/>
    <mergeCell ref="C36:D36"/>
    <mergeCell ref="E36:H36"/>
  </mergeCells>
  <conditionalFormatting sqref="E36:H36">
    <cfRule type="expression" priority="1" dxfId="29" stopIfTrue="1">
      <formula>$C$36&lt;=0.05</formula>
    </cfRule>
    <cfRule type="expression" priority="2" dxfId="30" stopIfTrue="1">
      <formula>$C$36&lt;=0.15</formula>
    </cfRule>
    <cfRule type="expression" priority="3" dxfId="31" stopIfTrue="1">
      <formula>$C$36&gt;0.15</formula>
    </cfRule>
  </conditionalFormatting>
  <dataValidations count="5">
    <dataValidation type="decimal" operator="greaterThanOrEqual" allowBlank="1" showInputMessage="1" showErrorMessage="1" sqref="C28:H28 C6:H6 D8:H8 D17:H17 D19:H20 C19 D10:H11 D5:H5 D13:H14">
      <formula1>0</formula1>
    </dataValidation>
    <dataValidation errorStyle="warning" type="whole" allowBlank="1" showInputMessage="1" showErrorMessage="1" errorTitle="Расположение машино-мест" error="Введите числовое значение уровня в паркинге, на котором расположено машино-место (от 1 до 3)" sqref="D26:H26">
      <formula1>0</formula1>
      <formula2>3</formula2>
    </dataValidation>
    <dataValidation allowBlank="1" showInputMessage="1" showErrorMessage="1" promptTitle="Условия финансирования" prompt="В качестве аналогов предпочтительней использовать квартиры реализуемые на условиях единовременной оплаты. В случае иных условий оплаты, оценщик должен проанализировать различия в ценах квартир по данному показателю." sqref="C12 E12:H12"/>
    <dataValidation type="list" allowBlank="1" showInputMessage="1" showErrorMessage="1" sqref="D18:H18">
      <formula1>дата</formula1>
    </dataValidation>
    <dataValidation type="list" allowBlank="1" showInputMessage="1" showErrorMessage="1" sqref="D15:H15">
      <formula1>торг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66"/>
  <sheetViews>
    <sheetView view="pageBreakPreview" zoomScaleSheetLayoutView="100" zoomScalePageLayoutView="0" workbookViewId="0" topLeftCell="A63">
      <selection activeCell="F77" sqref="F77"/>
    </sheetView>
  </sheetViews>
  <sheetFormatPr defaultColWidth="9.140625" defaultRowHeight="12.75"/>
  <cols>
    <col min="1" max="1" width="3.28125" style="1" customWidth="1"/>
    <col min="2" max="2" width="6.421875" style="1" bestFit="1" customWidth="1"/>
    <col min="3" max="3" width="40.8515625" style="1" customWidth="1"/>
    <col min="4" max="4" width="7.28125" style="1" bestFit="1" customWidth="1"/>
    <col min="5" max="5" width="13.140625" style="1" customWidth="1"/>
    <col min="6" max="6" width="14.00390625" style="1" customWidth="1"/>
    <col min="7" max="7" width="8.8515625" style="40" customWidth="1"/>
    <col min="8" max="8" width="14.00390625" style="1" customWidth="1"/>
    <col min="9" max="9" width="6.7109375" style="1" customWidth="1"/>
    <col min="10" max="10" width="42.57421875" style="1" customWidth="1"/>
    <col min="11" max="11" width="13.421875" style="1" customWidth="1"/>
    <col min="12" max="16384" width="9.140625" style="1" customWidth="1"/>
  </cols>
  <sheetData>
    <row r="1" ht="14.25" customHeight="1" hidden="1"/>
    <row r="2" spans="2:11" ht="12.75" hidden="1">
      <c r="B2" s="783" t="s">
        <v>54</v>
      </c>
      <c r="C2" s="783"/>
      <c r="D2" s="783"/>
      <c r="E2" s="783"/>
      <c r="F2" s="100" t="s">
        <v>160</v>
      </c>
      <c r="G2" s="177"/>
      <c r="H2" s="2"/>
      <c r="I2" s="2"/>
      <c r="J2" s="2"/>
      <c r="K2" s="2"/>
    </row>
    <row r="3" spans="2:11" ht="38.25" hidden="1">
      <c r="B3" s="141" t="s">
        <v>13</v>
      </c>
      <c r="C3" s="142" t="s">
        <v>14</v>
      </c>
      <c r="D3" s="142" t="s">
        <v>102</v>
      </c>
      <c r="E3" s="142" t="s">
        <v>51</v>
      </c>
      <c r="F3" s="142" t="s">
        <v>3</v>
      </c>
      <c r="G3" s="149" t="s">
        <v>5</v>
      </c>
      <c r="H3" s="141" t="s">
        <v>244</v>
      </c>
      <c r="I3" s="13"/>
      <c r="J3" s="13"/>
      <c r="K3" s="13"/>
    </row>
    <row r="4" spans="2:11" ht="12.75" hidden="1">
      <c r="B4" s="142">
        <v>1</v>
      </c>
      <c r="C4" s="144" t="s">
        <v>200</v>
      </c>
      <c r="D4" s="145"/>
      <c r="E4" s="208" t="s">
        <v>163</v>
      </c>
      <c r="F4" s="146" t="s">
        <v>36</v>
      </c>
      <c r="G4" s="190"/>
      <c r="H4" s="145"/>
      <c r="I4" s="11"/>
      <c r="J4" s="23"/>
      <c r="K4" s="23"/>
    </row>
    <row r="5" spans="2:11" ht="12.75" hidden="1">
      <c r="B5" s="142">
        <v>2</v>
      </c>
      <c r="C5" s="147" t="s">
        <v>164</v>
      </c>
      <c r="D5" s="147" t="s">
        <v>67</v>
      </c>
      <c r="E5" s="209">
        <v>12227</v>
      </c>
      <c r="F5" s="148">
        <f>'Исходные данные'!E10</f>
        <v>80000</v>
      </c>
      <c r="G5" s="191"/>
      <c r="H5" s="147"/>
      <c r="I5" s="12"/>
      <c r="J5" s="11"/>
      <c r="K5" s="13"/>
    </row>
    <row r="6" spans="2:11" ht="25.5" hidden="1">
      <c r="B6" s="33">
        <v>3</v>
      </c>
      <c r="C6" s="149" t="s">
        <v>52</v>
      </c>
      <c r="D6" s="149" t="s">
        <v>146</v>
      </c>
      <c r="E6" s="207">
        <v>-15000</v>
      </c>
      <c r="F6" s="150" t="s">
        <v>36</v>
      </c>
      <c r="G6" s="149"/>
      <c r="H6" s="141"/>
      <c r="I6" s="13"/>
      <c r="J6" s="14"/>
      <c r="K6" s="15"/>
    </row>
    <row r="7" spans="2:11" ht="12.75" hidden="1">
      <c r="B7" s="142">
        <f>B6+1</f>
        <v>4</v>
      </c>
      <c r="C7" s="782" t="s">
        <v>165</v>
      </c>
      <c r="D7" s="782"/>
      <c r="E7" s="782"/>
      <c r="F7" s="782"/>
      <c r="G7" s="149"/>
      <c r="H7" s="141"/>
      <c r="I7" s="13"/>
      <c r="J7" s="13"/>
      <c r="K7" s="13"/>
    </row>
    <row r="8" spans="2:11" ht="25.5" hidden="1">
      <c r="B8" s="151" t="s">
        <v>204</v>
      </c>
      <c r="C8" s="145" t="s">
        <v>166</v>
      </c>
      <c r="D8" s="145"/>
      <c r="E8" s="152" t="s">
        <v>20</v>
      </c>
      <c r="F8" s="153">
        <v>0</v>
      </c>
      <c r="G8" s="190"/>
      <c r="H8" s="145"/>
      <c r="I8" s="11"/>
      <c r="J8" s="16"/>
      <c r="K8" s="17"/>
    </row>
    <row r="9" spans="2:11" ht="12.75" hidden="1">
      <c r="B9" s="151" t="s">
        <v>205</v>
      </c>
      <c r="C9" s="154" t="s">
        <v>182</v>
      </c>
      <c r="D9" s="154" t="s">
        <v>179</v>
      </c>
      <c r="E9" s="155">
        <v>17</v>
      </c>
      <c r="F9" s="156">
        <v>17</v>
      </c>
      <c r="G9" s="184">
        <v>1</v>
      </c>
      <c r="H9" s="145"/>
      <c r="I9" s="11"/>
      <c r="J9" s="16"/>
      <c r="K9" s="17"/>
    </row>
    <row r="10" spans="2:11" ht="12.75" hidden="1">
      <c r="B10" s="151" t="s">
        <v>206</v>
      </c>
      <c r="C10" s="154" t="s">
        <v>181</v>
      </c>
      <c r="D10" s="154" t="s">
        <v>178</v>
      </c>
      <c r="E10" s="157">
        <v>2.8</v>
      </c>
      <c r="F10" s="157">
        <v>3</v>
      </c>
      <c r="G10" s="184">
        <v>1.03</v>
      </c>
      <c r="H10" s="145" t="s">
        <v>187</v>
      </c>
      <c r="I10" s="11"/>
      <c r="J10" s="14"/>
      <c r="K10" s="18"/>
    </row>
    <row r="11" spans="2:11" ht="12.75" hidden="1">
      <c r="B11" s="151" t="s">
        <v>207</v>
      </c>
      <c r="C11" s="154" t="s">
        <v>180</v>
      </c>
      <c r="D11" s="154" t="s">
        <v>178</v>
      </c>
      <c r="E11" s="155">
        <v>69</v>
      </c>
      <c r="F11" s="156">
        <v>75</v>
      </c>
      <c r="G11" s="184">
        <f>(E11-F11)*0.006+1</f>
        <v>0.964</v>
      </c>
      <c r="H11" s="145" t="s">
        <v>186</v>
      </c>
      <c r="I11" s="11"/>
      <c r="J11" s="14"/>
      <c r="K11" s="18"/>
    </row>
    <row r="12" spans="2:11" ht="12.75" hidden="1">
      <c r="B12" s="151" t="s">
        <v>208</v>
      </c>
      <c r="C12" s="158" t="s">
        <v>167</v>
      </c>
      <c r="D12" s="154"/>
      <c r="E12" s="155"/>
      <c r="F12" s="155" t="s">
        <v>190</v>
      </c>
      <c r="G12" s="184">
        <v>1</v>
      </c>
      <c r="H12" s="145"/>
      <c r="I12" s="11"/>
      <c r="J12" s="14"/>
      <c r="K12" s="18"/>
    </row>
    <row r="13" spans="2:11" ht="12.75" hidden="1">
      <c r="B13" s="151" t="s">
        <v>209</v>
      </c>
      <c r="C13" s="154" t="s">
        <v>168</v>
      </c>
      <c r="D13" s="154"/>
      <c r="E13" s="155"/>
      <c r="F13" s="156"/>
      <c r="G13" s="190"/>
      <c r="H13" s="145"/>
      <c r="I13" s="11"/>
      <c r="J13" s="14"/>
      <c r="K13" s="18"/>
    </row>
    <row r="14" spans="2:11" ht="38.25" hidden="1">
      <c r="B14" s="151" t="s">
        <v>210</v>
      </c>
      <c r="C14" s="154" t="s">
        <v>169</v>
      </c>
      <c r="D14" s="154"/>
      <c r="E14" s="155" t="s">
        <v>183</v>
      </c>
      <c r="F14" s="156" t="s">
        <v>188</v>
      </c>
      <c r="G14" s="192">
        <v>1</v>
      </c>
      <c r="H14" s="145" t="s">
        <v>189</v>
      </c>
      <c r="I14" s="11"/>
      <c r="J14" s="14"/>
      <c r="K14" s="18"/>
    </row>
    <row r="15" spans="2:11" ht="12.75" hidden="1">
      <c r="B15" s="151" t="s">
        <v>211</v>
      </c>
      <c r="C15" s="154" t="s">
        <v>170</v>
      </c>
      <c r="D15" s="154"/>
      <c r="E15" s="155"/>
      <c r="F15" s="156" t="s">
        <v>190</v>
      </c>
      <c r="G15" s="184">
        <v>1</v>
      </c>
      <c r="H15" s="145"/>
      <c r="I15" s="11"/>
      <c r="J15" s="14"/>
      <c r="K15" s="18"/>
    </row>
    <row r="16" spans="2:11" ht="12.75" hidden="1">
      <c r="B16" s="151" t="s">
        <v>212</v>
      </c>
      <c r="C16" s="154" t="s">
        <v>171</v>
      </c>
      <c r="D16" s="154"/>
      <c r="E16" s="155"/>
      <c r="F16" s="156" t="s">
        <v>190</v>
      </c>
      <c r="G16" s="184">
        <v>1</v>
      </c>
      <c r="H16" s="145"/>
      <c r="I16" s="11"/>
      <c r="J16" s="14"/>
      <c r="K16" s="18"/>
    </row>
    <row r="17" spans="2:11" ht="12.75" hidden="1">
      <c r="B17" s="151" t="s">
        <v>213</v>
      </c>
      <c r="C17" s="154" t="s">
        <v>172</v>
      </c>
      <c r="D17" s="154"/>
      <c r="E17" s="155"/>
      <c r="F17" s="156" t="s">
        <v>190</v>
      </c>
      <c r="G17" s="184">
        <f>1</f>
        <v>1</v>
      </c>
      <c r="H17" s="145"/>
      <c r="I17" s="11"/>
      <c r="J17" s="14"/>
      <c r="K17" s="18"/>
    </row>
    <row r="18" spans="2:11" ht="12.75" hidden="1">
      <c r="B18" s="151" t="s">
        <v>214</v>
      </c>
      <c r="C18" s="154" t="s">
        <v>173</v>
      </c>
      <c r="D18" s="154"/>
      <c r="E18" s="155"/>
      <c r="F18" s="156" t="s">
        <v>190</v>
      </c>
      <c r="G18" s="184">
        <v>1</v>
      </c>
      <c r="H18" s="145"/>
      <c r="I18" s="11"/>
      <c r="J18" s="14"/>
      <c r="K18" s="18"/>
    </row>
    <row r="19" spans="2:11" ht="12.75" hidden="1">
      <c r="B19" s="151" t="s">
        <v>215</v>
      </c>
      <c r="C19" s="154" t="s">
        <v>174</v>
      </c>
      <c r="D19" s="154"/>
      <c r="E19" s="155"/>
      <c r="F19" s="156" t="s">
        <v>190</v>
      </c>
      <c r="G19" s="184">
        <v>1</v>
      </c>
      <c r="H19" s="145"/>
      <c r="I19" s="11"/>
      <c r="J19" s="14"/>
      <c r="K19" s="18"/>
    </row>
    <row r="20" spans="2:11" ht="12.75" hidden="1">
      <c r="B20" s="151" t="s">
        <v>216</v>
      </c>
      <c r="C20" s="154" t="s">
        <v>175</v>
      </c>
      <c r="D20" s="154"/>
      <c r="E20" s="155"/>
      <c r="F20" s="156" t="s">
        <v>190</v>
      </c>
      <c r="G20" s="184">
        <v>1</v>
      </c>
      <c r="H20" s="145"/>
      <c r="I20" s="11"/>
      <c r="J20" s="14"/>
      <c r="K20" s="18"/>
    </row>
    <row r="21" spans="2:11" ht="25.5" hidden="1">
      <c r="B21" s="151" t="s">
        <v>217</v>
      </c>
      <c r="C21" s="133" t="s">
        <v>176</v>
      </c>
      <c r="D21" s="133"/>
      <c r="E21" s="134" t="s">
        <v>192</v>
      </c>
      <c r="F21" s="135" t="s">
        <v>191</v>
      </c>
      <c r="G21" s="184">
        <v>0.9</v>
      </c>
      <c r="H21" s="193"/>
      <c r="I21" s="11"/>
      <c r="J21" s="14"/>
      <c r="K21" s="18"/>
    </row>
    <row r="22" spans="2:11" ht="12.75" hidden="1">
      <c r="B22" s="151" t="s">
        <v>218</v>
      </c>
      <c r="C22" s="154" t="s">
        <v>167</v>
      </c>
      <c r="D22" s="154"/>
      <c r="E22" s="155"/>
      <c r="F22" s="156" t="s">
        <v>190</v>
      </c>
      <c r="G22" s="184">
        <v>1</v>
      </c>
      <c r="H22" s="194"/>
      <c r="I22" s="11"/>
      <c r="J22" s="14"/>
      <c r="K22" s="18"/>
    </row>
    <row r="23" spans="2:11" ht="25.5" hidden="1">
      <c r="B23" s="151" t="s">
        <v>219</v>
      </c>
      <c r="C23" s="154" t="s">
        <v>177</v>
      </c>
      <c r="D23" s="154"/>
      <c r="E23" s="155"/>
      <c r="F23" s="156" t="s">
        <v>190</v>
      </c>
      <c r="G23" s="184">
        <v>1</v>
      </c>
      <c r="H23" s="194"/>
      <c r="I23" s="11"/>
      <c r="J23" s="14"/>
      <c r="K23" s="18"/>
    </row>
    <row r="24" spans="2:11" ht="27" hidden="1">
      <c r="B24" s="142">
        <f>B7+1</f>
        <v>5</v>
      </c>
      <c r="C24" s="159" t="s">
        <v>223</v>
      </c>
      <c r="D24" s="159"/>
      <c r="E24" s="160"/>
      <c r="F24" s="161"/>
      <c r="G24" s="195">
        <f>G9*G10*G11*G12*G14*G15*G16*G17*G18*G19*G20*G21*G22*G23</f>
        <v>0.8936280000000001</v>
      </c>
      <c r="H24" s="196"/>
      <c r="I24" s="19"/>
      <c r="J24" s="14"/>
      <c r="K24" s="20"/>
    </row>
    <row r="25" spans="2:14" ht="12.75" hidden="1">
      <c r="B25" s="142">
        <f>B24+1</f>
        <v>6</v>
      </c>
      <c r="C25" s="782" t="s">
        <v>15</v>
      </c>
      <c r="D25" s="782"/>
      <c r="E25" s="782"/>
      <c r="F25" s="788"/>
      <c r="G25" s="181"/>
      <c r="H25" s="182"/>
      <c r="I25" s="13"/>
      <c r="J25" s="13"/>
      <c r="K25" s="13"/>
      <c r="M25" s="786" t="s">
        <v>89</v>
      </c>
      <c r="N25" s="787"/>
    </row>
    <row r="26" spans="2:14" ht="38.25" hidden="1">
      <c r="B26" s="151" t="s">
        <v>220</v>
      </c>
      <c r="C26" s="162" t="s">
        <v>16</v>
      </c>
      <c r="D26" s="158"/>
      <c r="E26" s="163" t="s">
        <v>198</v>
      </c>
      <c r="F26" s="164" t="s">
        <v>196</v>
      </c>
      <c r="G26" s="197" t="s">
        <v>197</v>
      </c>
      <c r="H26" s="198" t="s">
        <v>245</v>
      </c>
      <c r="I26" s="10"/>
      <c r="J26" s="789" t="s">
        <v>87</v>
      </c>
      <c r="K26" s="790"/>
      <c r="M26" s="787"/>
      <c r="N26" s="787"/>
    </row>
    <row r="27" spans="2:11" ht="12.75" hidden="1">
      <c r="B27" s="38" t="s">
        <v>221</v>
      </c>
      <c r="C27" s="162" t="s">
        <v>17</v>
      </c>
      <c r="D27" s="158"/>
      <c r="E27" s="163" t="s">
        <v>194</v>
      </c>
      <c r="F27" s="164" t="s">
        <v>195</v>
      </c>
      <c r="G27" s="197" t="s">
        <v>243</v>
      </c>
      <c r="H27" s="198"/>
      <c r="I27" s="10"/>
      <c r="J27" s="791" t="s">
        <v>88</v>
      </c>
      <c r="K27" s="791"/>
    </row>
    <row r="28" spans="2:11" ht="25.5" hidden="1">
      <c r="B28" s="151" t="s">
        <v>222</v>
      </c>
      <c r="C28" s="162" t="s">
        <v>53</v>
      </c>
      <c r="D28" s="158"/>
      <c r="E28" s="163"/>
      <c r="F28" s="165"/>
      <c r="G28" s="199" t="s">
        <v>199</v>
      </c>
      <c r="H28" s="198"/>
      <c r="I28" s="10"/>
      <c r="J28" s="792"/>
      <c r="K28" s="793"/>
    </row>
    <row r="29" spans="2:11" ht="27" hidden="1">
      <c r="B29" s="146">
        <f>B25+1</f>
        <v>7</v>
      </c>
      <c r="C29" s="159" t="s">
        <v>18</v>
      </c>
      <c r="D29" s="166"/>
      <c r="E29" s="163"/>
      <c r="F29" s="167"/>
      <c r="G29" s="200">
        <f>G26*G27*G28</f>
        <v>2.36</v>
      </c>
      <c r="H29" s="198"/>
      <c r="I29" s="10"/>
      <c r="J29" s="14"/>
      <c r="K29" s="12"/>
    </row>
    <row r="30" spans="2:11" ht="12.75" hidden="1">
      <c r="B30" s="33">
        <f aca="true" t="shared" si="0" ref="B30:B35">B29+1</f>
        <v>8</v>
      </c>
      <c r="C30" s="149" t="s">
        <v>184</v>
      </c>
      <c r="D30" s="166"/>
      <c r="E30" s="163" t="s">
        <v>193</v>
      </c>
      <c r="F30" s="167" t="s">
        <v>193</v>
      </c>
      <c r="G30" s="184">
        <v>1</v>
      </c>
      <c r="H30" s="198"/>
      <c r="I30" s="10"/>
      <c r="J30" s="14"/>
      <c r="K30" s="12"/>
    </row>
    <row r="31" spans="2:11" ht="13.5" hidden="1">
      <c r="B31" s="33">
        <f t="shared" si="0"/>
        <v>9</v>
      </c>
      <c r="C31" s="149" t="s">
        <v>185</v>
      </c>
      <c r="D31" s="159"/>
      <c r="E31" s="160" t="s">
        <v>201</v>
      </c>
      <c r="F31" s="168" t="s">
        <v>201</v>
      </c>
      <c r="G31" s="184">
        <v>1</v>
      </c>
      <c r="H31" s="198"/>
      <c r="I31" s="10"/>
      <c r="J31" s="14"/>
      <c r="K31" s="12"/>
    </row>
    <row r="32" spans="2:11" ht="38.25" hidden="1">
      <c r="B32" s="33">
        <f t="shared" si="0"/>
        <v>10</v>
      </c>
      <c r="C32" s="141" t="s">
        <v>19</v>
      </c>
      <c r="D32" s="141"/>
      <c r="E32" s="160"/>
      <c r="F32" s="169">
        <f>E6*G24*G29*G30*G31</f>
        <v>-31634.431200000003</v>
      </c>
      <c r="G32" s="201"/>
      <c r="H32" s="202"/>
      <c r="I32" s="39"/>
      <c r="J32" s="14">
        <v>25543</v>
      </c>
      <c r="K32" s="12"/>
    </row>
    <row r="33" spans="2:11" ht="25.5" hidden="1">
      <c r="B33" s="33">
        <f t="shared" si="0"/>
        <v>11</v>
      </c>
      <c r="C33" s="141" t="s">
        <v>202</v>
      </c>
      <c r="D33" s="141" t="s">
        <v>146</v>
      </c>
      <c r="E33" s="169"/>
      <c r="F33" s="169">
        <f>F32*F5</f>
        <v>-2530754496</v>
      </c>
      <c r="G33" s="203"/>
      <c r="H33" s="224">
        <f>47598*13815</f>
        <v>657566370</v>
      </c>
      <c r="I33" s="35"/>
      <c r="J33" s="14">
        <v>13815</v>
      </c>
      <c r="K33" s="21"/>
    </row>
    <row r="34" spans="2:11" ht="25.5" hidden="1">
      <c r="B34" s="33">
        <f t="shared" si="0"/>
        <v>12</v>
      </c>
      <c r="C34" s="141" t="s">
        <v>202</v>
      </c>
      <c r="D34" s="141" t="s">
        <v>139</v>
      </c>
      <c r="E34" s="169"/>
      <c r="F34" s="169">
        <f>F33/к</f>
        <v>-99068505.05959953</v>
      </c>
      <c r="G34" s="205"/>
      <c r="H34" s="198"/>
      <c r="I34" s="10"/>
      <c r="J34" s="14">
        <v>4670</v>
      </c>
      <c r="K34" s="12"/>
    </row>
    <row r="35" spans="2:11" ht="25.5" hidden="1">
      <c r="B35" s="33">
        <f t="shared" si="0"/>
        <v>13</v>
      </c>
      <c r="C35" s="141" t="s">
        <v>203</v>
      </c>
      <c r="D35" s="141" t="s">
        <v>139</v>
      </c>
      <c r="E35" s="169"/>
      <c r="F35" s="169">
        <f>F34/'Исходные данные'!E10</f>
        <v>-1238.3563132449942</v>
      </c>
      <c r="G35" s="205"/>
      <c r="H35" s="204">
        <f>29796/25.5*1.07</f>
        <v>1250.2635294117647</v>
      </c>
      <c r="I35" s="10"/>
      <c r="J35" s="14">
        <f>J34+J33</f>
        <v>18485</v>
      </c>
      <c r="K35" s="22"/>
    </row>
    <row r="36" spans="2:11" ht="12.75" hidden="1">
      <c r="B36" s="170"/>
      <c r="C36" s="143"/>
      <c r="D36" s="143"/>
      <c r="E36" s="171"/>
      <c r="F36" s="171"/>
      <c r="G36" s="179"/>
      <c r="H36" s="10"/>
      <c r="I36" s="10"/>
      <c r="J36" s="14">
        <f>J35/J32</f>
        <v>0.7236816348901852</v>
      </c>
      <c r="K36" s="22"/>
    </row>
    <row r="37" spans="7:11" ht="14.25" customHeight="1" hidden="1">
      <c r="G37" s="180"/>
      <c r="H37" s="19"/>
      <c r="I37" s="19"/>
      <c r="J37" s="14"/>
      <c r="K37" s="22"/>
    </row>
    <row r="38" spans="2:11" ht="12.75" hidden="1">
      <c r="B38" s="784" t="s">
        <v>55</v>
      </c>
      <c r="C38" s="785"/>
      <c r="D38" s="785"/>
      <c r="E38" s="785"/>
      <c r="F38" s="100" t="s">
        <v>161</v>
      </c>
      <c r="G38" s="178"/>
      <c r="H38" s="13"/>
      <c r="I38" s="13"/>
      <c r="J38" s="24"/>
      <c r="K38" s="22"/>
    </row>
    <row r="39" spans="2:11" ht="38.25" hidden="1">
      <c r="B39" s="141" t="s">
        <v>13</v>
      </c>
      <c r="C39" s="142" t="s">
        <v>14</v>
      </c>
      <c r="D39" s="142" t="s">
        <v>102</v>
      </c>
      <c r="E39" s="142" t="s">
        <v>51</v>
      </c>
      <c r="F39" s="142" t="s">
        <v>3</v>
      </c>
      <c r="G39" s="181" t="s">
        <v>5</v>
      </c>
      <c r="H39" s="182" t="s">
        <v>244</v>
      </c>
      <c r="I39" s="13"/>
      <c r="J39" s="24"/>
      <c r="K39" s="13"/>
    </row>
    <row r="40" spans="2:11" ht="25.5" hidden="1">
      <c r="B40" s="142">
        <v>1</v>
      </c>
      <c r="C40" s="145" t="s">
        <v>249</v>
      </c>
      <c r="D40" s="145"/>
      <c r="E40" s="208" t="s">
        <v>254</v>
      </c>
      <c r="F40" s="145"/>
      <c r="G40" s="181"/>
      <c r="H40" s="182"/>
      <c r="I40" s="13"/>
      <c r="J40" s="13"/>
      <c r="K40" s="13"/>
    </row>
    <row r="41" spans="2:8" ht="12.75" hidden="1">
      <c r="B41" s="142">
        <f>B40+1</f>
        <v>2</v>
      </c>
      <c r="C41" s="147" t="s">
        <v>225</v>
      </c>
      <c r="D41" s="147" t="s">
        <v>84</v>
      </c>
      <c r="E41" s="148" t="s">
        <v>36</v>
      </c>
      <c r="F41" s="240">
        <v>80000</v>
      </c>
      <c r="G41" s="183"/>
      <c r="H41" s="30"/>
    </row>
    <row r="42" spans="2:13" ht="25.5" hidden="1">
      <c r="B42" s="142">
        <f>B41+1</f>
        <v>3</v>
      </c>
      <c r="C42" s="141" t="s">
        <v>56</v>
      </c>
      <c r="D42" s="141"/>
      <c r="E42" s="206">
        <v>-3308.55</v>
      </c>
      <c r="F42" s="169" t="s">
        <v>36</v>
      </c>
      <c r="G42" s="183"/>
      <c r="H42" s="30"/>
      <c r="I42" s="1">
        <v>3214</v>
      </c>
      <c r="J42" s="14"/>
      <c r="K42" s="14"/>
      <c r="L42" s="14"/>
      <c r="M42" s="24"/>
    </row>
    <row r="43" spans="2:13" ht="12.75" hidden="1">
      <c r="B43" s="142">
        <f>B42+1</f>
        <v>4</v>
      </c>
      <c r="C43" s="782" t="s">
        <v>224</v>
      </c>
      <c r="D43" s="782"/>
      <c r="E43" s="782"/>
      <c r="F43" s="782"/>
      <c r="G43" s="183"/>
      <c r="H43" s="30"/>
      <c r="J43" s="12"/>
      <c r="K43" s="22"/>
      <c r="L43" s="22"/>
      <c r="M43" s="22"/>
    </row>
    <row r="44" spans="2:13" ht="12.75" hidden="1">
      <c r="B44" s="172" t="s">
        <v>204</v>
      </c>
      <c r="C44" s="173" t="s">
        <v>226</v>
      </c>
      <c r="D44" s="37"/>
      <c r="E44" s="37">
        <v>3.5</v>
      </c>
      <c r="F44" s="37">
        <v>3.5</v>
      </c>
      <c r="G44" s="184">
        <v>1</v>
      </c>
      <c r="H44" s="30"/>
      <c r="J44" s="12"/>
      <c r="K44" s="22"/>
      <c r="L44" s="22"/>
      <c r="M44" s="22"/>
    </row>
    <row r="45" spans="2:13" ht="12.75" hidden="1">
      <c r="B45" s="172" t="s">
        <v>209</v>
      </c>
      <c r="C45" s="173" t="s">
        <v>227</v>
      </c>
      <c r="D45" s="37"/>
      <c r="E45" s="37"/>
      <c r="F45" s="37"/>
      <c r="G45" s="185"/>
      <c r="H45" s="30"/>
      <c r="J45" s="12"/>
      <c r="K45" s="22"/>
      <c r="L45" s="22"/>
      <c r="M45" s="22"/>
    </row>
    <row r="46" spans="2:13" ht="12.75" hidden="1">
      <c r="B46" s="172" t="s">
        <v>210</v>
      </c>
      <c r="C46" s="173" t="s">
        <v>228</v>
      </c>
      <c r="D46" s="37"/>
      <c r="E46" s="37"/>
      <c r="F46" s="37"/>
      <c r="G46" s="184">
        <v>1</v>
      </c>
      <c r="H46" s="30"/>
      <c r="J46" s="12"/>
      <c r="K46" s="22"/>
      <c r="L46" s="22"/>
      <c r="M46" s="22"/>
    </row>
    <row r="47" spans="2:13" ht="12.75" hidden="1">
      <c r="B47" s="172" t="s">
        <v>211</v>
      </c>
      <c r="C47" s="173" t="s">
        <v>229</v>
      </c>
      <c r="D47" s="37"/>
      <c r="E47" s="37"/>
      <c r="F47" s="37"/>
      <c r="G47" s="184">
        <v>1</v>
      </c>
      <c r="H47" s="30"/>
      <c r="J47" s="12"/>
      <c r="K47" s="22"/>
      <c r="L47" s="22"/>
      <c r="M47" s="22"/>
    </row>
    <row r="48" spans="2:13" ht="12.75" hidden="1">
      <c r="B48" s="172" t="s">
        <v>212</v>
      </c>
      <c r="C48" s="173" t="s">
        <v>230</v>
      </c>
      <c r="D48" s="37"/>
      <c r="E48" s="37"/>
      <c r="F48" s="37"/>
      <c r="G48" s="184">
        <v>1</v>
      </c>
      <c r="H48" s="30"/>
      <c r="J48" s="12"/>
      <c r="K48" s="22"/>
      <c r="L48" s="22"/>
      <c r="M48" s="22"/>
    </row>
    <row r="49" spans="2:13" ht="12.75" hidden="1">
      <c r="B49" s="172" t="s">
        <v>219</v>
      </c>
      <c r="C49" s="173" t="s">
        <v>231</v>
      </c>
      <c r="D49" s="37"/>
      <c r="E49" s="37"/>
      <c r="F49" s="37"/>
      <c r="G49" s="184">
        <v>1</v>
      </c>
      <c r="H49" s="30"/>
      <c r="J49" s="12"/>
      <c r="K49" s="22"/>
      <c r="L49" s="22"/>
      <c r="M49" s="22"/>
    </row>
    <row r="50" spans="2:13" ht="27" hidden="1">
      <c r="B50" s="142">
        <f>B43+1</f>
        <v>5</v>
      </c>
      <c r="C50" s="159" t="s">
        <v>223</v>
      </c>
      <c r="D50" s="37"/>
      <c r="E50" s="37"/>
      <c r="F50" s="37"/>
      <c r="G50" s="225">
        <f>G44*G46*G47*G48*G49</f>
        <v>1</v>
      </c>
      <c r="H50" s="30"/>
      <c r="J50" s="12"/>
      <c r="K50" s="22"/>
      <c r="L50" s="22"/>
      <c r="M50" s="22"/>
    </row>
    <row r="51" spans="2:13" ht="12.75" hidden="1">
      <c r="B51" s="142">
        <f>B50+1</f>
        <v>6</v>
      </c>
      <c r="C51" s="782" t="s">
        <v>232</v>
      </c>
      <c r="D51" s="782"/>
      <c r="E51" s="782"/>
      <c r="F51" s="782"/>
      <c r="G51" s="183"/>
      <c r="H51" s="30"/>
      <c r="J51" s="12"/>
      <c r="K51" s="22"/>
      <c r="L51" s="22"/>
      <c r="M51" s="22"/>
    </row>
    <row r="52" spans="2:13" ht="12.75" hidden="1">
      <c r="B52" s="172" t="s">
        <v>220</v>
      </c>
      <c r="C52" s="173" t="s">
        <v>233</v>
      </c>
      <c r="D52" s="37" t="s">
        <v>67</v>
      </c>
      <c r="E52" s="37" t="s">
        <v>238</v>
      </c>
      <c r="F52" s="174">
        <f>'Исходные данные'!E13</f>
        <v>20000</v>
      </c>
      <c r="G52" s="184">
        <v>1</v>
      </c>
      <c r="H52" s="30" t="s">
        <v>239</v>
      </c>
      <c r="J52" s="12"/>
      <c r="K52" s="22"/>
      <c r="L52" s="22"/>
      <c r="M52" s="22"/>
    </row>
    <row r="53" spans="2:8" ht="12.75" hidden="1">
      <c r="B53" s="172" t="s">
        <v>221</v>
      </c>
      <c r="C53" s="173" t="s">
        <v>234</v>
      </c>
      <c r="D53" s="37"/>
      <c r="E53" s="37"/>
      <c r="F53" s="37"/>
      <c r="G53" s="184">
        <v>1</v>
      </c>
      <c r="H53" s="30"/>
    </row>
    <row r="54" spans="2:8" ht="25.5" hidden="1">
      <c r="B54" s="172" t="s">
        <v>222</v>
      </c>
      <c r="C54" s="162" t="s">
        <v>16</v>
      </c>
      <c r="D54" s="162"/>
      <c r="E54" s="163" t="s">
        <v>198</v>
      </c>
      <c r="F54" s="164" t="s">
        <v>196</v>
      </c>
      <c r="G54" s="186">
        <v>1</v>
      </c>
      <c r="H54" s="30" t="s">
        <v>240</v>
      </c>
    </row>
    <row r="55" spans="2:8" ht="12.75" hidden="1">
      <c r="B55" s="172" t="s">
        <v>236</v>
      </c>
      <c r="C55" s="162" t="s">
        <v>17</v>
      </c>
      <c r="D55" s="162"/>
      <c r="E55" s="163" t="s">
        <v>194</v>
      </c>
      <c r="F55" s="164" t="s">
        <v>195</v>
      </c>
      <c r="G55" s="187">
        <v>1.18</v>
      </c>
      <c r="H55" s="30"/>
    </row>
    <row r="56" spans="2:8" s="136" customFormat="1" ht="12.75" hidden="1">
      <c r="B56" s="137" t="s">
        <v>237</v>
      </c>
      <c r="C56" s="138" t="s">
        <v>235</v>
      </c>
      <c r="D56" s="138"/>
      <c r="E56" s="139"/>
      <c r="F56" s="140"/>
      <c r="G56" s="210">
        <v>1.1</v>
      </c>
      <c r="H56" s="188"/>
    </row>
    <row r="57" spans="2:12" ht="27" hidden="1">
      <c r="B57" s="142">
        <f>B51+1</f>
        <v>7</v>
      </c>
      <c r="C57" s="159" t="s">
        <v>18</v>
      </c>
      <c r="D57" s="159"/>
      <c r="E57" s="160"/>
      <c r="F57" s="175"/>
      <c r="G57" s="189">
        <f>G52*G53*G54*G55*G56</f>
        <v>1.298</v>
      </c>
      <c r="H57" s="30"/>
      <c r="J57" s="1">
        <v>3308.55</v>
      </c>
      <c r="K57" s="1" t="s">
        <v>251</v>
      </c>
      <c r="L57" s="1" t="s">
        <v>252</v>
      </c>
    </row>
    <row r="58" spans="2:12" ht="38.25" hidden="1">
      <c r="B58" s="142">
        <f>B57+1</f>
        <v>8</v>
      </c>
      <c r="C58" s="141" t="s">
        <v>19</v>
      </c>
      <c r="D58" s="141"/>
      <c r="E58" s="160" t="s">
        <v>21</v>
      </c>
      <c r="F58" s="169">
        <f>E42*G50*G57</f>
        <v>-4294.4979</v>
      </c>
      <c r="G58" s="183"/>
      <c r="H58" s="30"/>
      <c r="J58" s="1">
        <v>3214.02</v>
      </c>
      <c r="K58" s="1" t="s">
        <v>253</v>
      </c>
      <c r="L58" s="1" t="s">
        <v>193</v>
      </c>
    </row>
    <row r="59" spans="2:8" ht="25.5" hidden="1">
      <c r="B59" s="176">
        <f>B58+1</f>
        <v>9</v>
      </c>
      <c r="C59" s="141" t="s">
        <v>241</v>
      </c>
      <c r="D59" s="141" t="s">
        <v>146</v>
      </c>
      <c r="E59" s="169"/>
      <c r="F59" s="169">
        <f>F58*F41</f>
        <v>-343559832</v>
      </c>
      <c r="G59" s="183"/>
      <c r="H59" s="30"/>
    </row>
    <row r="60" spans="2:8" ht="25.5" hidden="1">
      <c r="B60" s="176">
        <f>B59+1</f>
        <v>10</v>
      </c>
      <c r="C60" s="141" t="s">
        <v>241</v>
      </c>
      <c r="D60" s="141" t="s">
        <v>139</v>
      </c>
      <c r="E60" s="169"/>
      <c r="F60" s="169">
        <f>F59/к</f>
        <v>-13448937.464524085</v>
      </c>
      <c r="G60" s="183"/>
      <c r="H60" s="30"/>
    </row>
    <row r="61" spans="2:8" ht="25.5" hidden="1">
      <c r="B61" s="142">
        <f>B60+1</f>
        <v>11</v>
      </c>
      <c r="C61" s="141" t="s">
        <v>242</v>
      </c>
      <c r="D61" s="141" t="s">
        <v>139</v>
      </c>
      <c r="E61" s="169"/>
      <c r="F61" s="169">
        <f>F60/'Исходные данные'!E13</f>
        <v>-672.4468732262043</v>
      </c>
      <c r="G61" s="183"/>
      <c r="H61" s="30"/>
    </row>
    <row r="62" ht="12.75" hidden="1"/>
    <row r="66" spans="3:4" ht="25.5">
      <c r="C66" s="36" t="s">
        <v>29</v>
      </c>
      <c r="D66" s="36"/>
    </row>
  </sheetData>
  <sheetProtection password="CC09" sheet="1" objects="1" scenarios="1"/>
  <mergeCells count="10">
    <mergeCell ref="C51:F51"/>
    <mergeCell ref="B2:E2"/>
    <mergeCell ref="B38:E38"/>
    <mergeCell ref="M25:N26"/>
    <mergeCell ref="C43:F43"/>
    <mergeCell ref="C7:F7"/>
    <mergeCell ref="C25:F25"/>
    <mergeCell ref="J26:K26"/>
    <mergeCell ref="J27:J28"/>
    <mergeCell ref="K27:K28"/>
  </mergeCells>
  <dataValidations count="1">
    <dataValidation type="decimal" operator="lessThan" allowBlank="1" showInputMessage="1" showErrorMessage="1" sqref="E6">
      <formula1>0</formula1>
    </dataValidation>
  </dataValidations>
  <hyperlinks>
    <hyperlink ref="C66" r:id="rId1" display="http://www.vedomosti.ru/newspaper/showpic.shtml?2007/01/30/119772"/>
  </hyperlinks>
  <printOptions/>
  <pageMargins left="0.75" right="0.75" top="1" bottom="1" header="0.5" footer="0.5"/>
  <pageSetup horizontalDpi="600" verticalDpi="600" orientation="portrait" paperSize="9" r:id="rId2"/>
  <rowBreaks count="1" manualBreakCount="1">
    <brk id="3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N50"/>
  <sheetViews>
    <sheetView zoomScaleSheetLayoutView="100" zoomScalePageLayoutView="0" workbookViewId="0" topLeftCell="A16">
      <selection activeCell="G46" sqref="G46"/>
    </sheetView>
  </sheetViews>
  <sheetFormatPr defaultColWidth="9.140625" defaultRowHeight="12.75"/>
  <cols>
    <col min="1" max="1" width="0.5625" style="1" customWidth="1"/>
    <col min="2" max="2" width="4.140625" style="1" customWidth="1"/>
    <col min="3" max="3" width="40.421875" style="1" customWidth="1"/>
    <col min="4" max="4" width="10.57421875" style="1" customWidth="1"/>
    <col min="5" max="5" width="12.28125" style="1" customWidth="1"/>
    <col min="6" max="6" width="9.421875" style="1" customWidth="1"/>
    <col min="7" max="7" width="25.140625" style="40" customWidth="1"/>
    <col min="8" max="8" width="20.421875" style="1" customWidth="1"/>
    <col min="9" max="9" width="5.28125" style="1" customWidth="1"/>
    <col min="10" max="10" width="3.57421875" style="1" bestFit="1" customWidth="1"/>
    <col min="11" max="11" width="37.8515625" style="1" customWidth="1"/>
    <col min="12" max="12" width="8.8515625" style="1" customWidth="1"/>
    <col min="13" max="13" width="14.00390625" style="1" customWidth="1"/>
    <col min="14" max="16384" width="9.140625" style="1" customWidth="1"/>
  </cols>
  <sheetData>
    <row r="1" spans="2:12" ht="13.5" thickBot="1">
      <c r="B1" s="794" t="s">
        <v>258</v>
      </c>
      <c r="C1" s="794"/>
      <c r="D1" s="794"/>
      <c r="E1" s="794"/>
      <c r="F1" s="670"/>
      <c r="G1" s="442" t="s">
        <v>270</v>
      </c>
      <c r="I1" s="2"/>
      <c r="J1" s="2"/>
      <c r="K1" s="2"/>
      <c r="L1" s="2"/>
    </row>
    <row r="2" spans="2:12" ht="25.5">
      <c r="B2" s="443" t="s">
        <v>13</v>
      </c>
      <c r="C2" s="427" t="s">
        <v>31</v>
      </c>
      <c r="D2" s="427" t="s">
        <v>102</v>
      </c>
      <c r="E2" s="427" t="s">
        <v>10</v>
      </c>
      <c r="F2" s="612" t="s">
        <v>244</v>
      </c>
      <c r="G2" s="799"/>
      <c r="H2" s="143"/>
      <c r="I2" s="143"/>
      <c r="J2" s="13"/>
      <c r="K2" s="13"/>
      <c r="L2" s="13"/>
    </row>
    <row r="3" spans="2:12" ht="12.75">
      <c r="B3" s="444">
        <v>1</v>
      </c>
      <c r="C3" s="445" t="s">
        <v>164</v>
      </c>
      <c r="D3" s="426" t="s">
        <v>67</v>
      </c>
      <c r="E3" s="446">
        <f>'Исходные данные'!E10</f>
        <v>80000</v>
      </c>
      <c r="F3" s="800" t="s">
        <v>101</v>
      </c>
      <c r="G3" s="801"/>
      <c r="H3" s="9"/>
      <c r="I3" s="9"/>
      <c r="J3" s="12"/>
      <c r="K3" s="11"/>
      <c r="L3" s="13"/>
    </row>
    <row r="4" spans="2:9" ht="12.75">
      <c r="B4" s="444">
        <f>B3+1</f>
        <v>2</v>
      </c>
      <c r="C4" s="434" t="s">
        <v>260</v>
      </c>
      <c r="D4" s="426" t="s">
        <v>428</v>
      </c>
      <c r="E4" s="294">
        <v>29796</v>
      </c>
      <c r="F4" s="795" t="s">
        <v>380</v>
      </c>
      <c r="G4" s="796"/>
      <c r="H4" s="143"/>
      <c r="I4" s="2"/>
    </row>
    <row r="5" spans="2:9" ht="12.75">
      <c r="B5" s="444">
        <f aca="true" t="shared" si="0" ref="B5:B11">B4+1</f>
        <v>3</v>
      </c>
      <c r="C5" s="447">
        <f>ДО</f>
        <v>39327</v>
      </c>
      <c r="D5" s="448"/>
      <c r="E5" s="295">
        <v>1.074</v>
      </c>
      <c r="F5" s="795" t="s">
        <v>374</v>
      </c>
      <c r="G5" s="796"/>
      <c r="H5" s="10"/>
      <c r="I5" s="2"/>
    </row>
    <row r="6" spans="2:9" s="455" customFormat="1" ht="25.5">
      <c r="B6" s="444">
        <f t="shared" si="0"/>
        <v>4</v>
      </c>
      <c r="C6" s="447" t="s">
        <v>463</v>
      </c>
      <c r="D6" s="448" t="s">
        <v>428</v>
      </c>
      <c r="E6" s="295">
        <v>500</v>
      </c>
      <c r="F6" s="795" t="s">
        <v>473</v>
      </c>
      <c r="G6" s="796"/>
      <c r="H6" s="522"/>
      <c r="I6" s="468"/>
    </row>
    <row r="7" spans="2:14" ht="12.75">
      <c r="B7" s="444">
        <f t="shared" si="0"/>
        <v>5</v>
      </c>
      <c r="C7" s="581">
        <f>ДО</f>
        <v>39327</v>
      </c>
      <c r="D7" s="426" t="s">
        <v>261</v>
      </c>
      <c r="E7" s="449">
        <f>E4*E5+E6</f>
        <v>32500.904000000002</v>
      </c>
      <c r="F7" s="797" t="s">
        <v>453</v>
      </c>
      <c r="G7" s="798"/>
      <c r="H7" s="39"/>
      <c r="I7" s="2"/>
      <c r="N7" s="22"/>
    </row>
    <row r="8" spans="2:14" ht="12.75">
      <c r="B8" s="444">
        <f t="shared" si="0"/>
        <v>6</v>
      </c>
      <c r="C8" s="581">
        <f>ДО</f>
        <v>39327</v>
      </c>
      <c r="D8" s="426" t="s">
        <v>139</v>
      </c>
      <c r="E8" s="450">
        <f>(E3*E7)/к</f>
        <v>101782009.35585524</v>
      </c>
      <c r="F8" s="797" t="s">
        <v>456</v>
      </c>
      <c r="G8" s="798"/>
      <c r="H8" s="10"/>
      <c r="I8" s="2"/>
      <c r="N8" s="22"/>
    </row>
    <row r="9" spans="2:14" ht="12.75">
      <c r="B9" s="444"/>
      <c r="C9" s="809" t="s">
        <v>86</v>
      </c>
      <c r="D9" s="810"/>
      <c r="E9" s="810"/>
      <c r="F9" s="810"/>
      <c r="G9" s="811"/>
      <c r="H9" s="39"/>
      <c r="I9" s="2"/>
      <c r="N9" s="22"/>
    </row>
    <row r="10" spans="2:14" ht="12.75">
      <c r="B10" s="444">
        <f>B8+1</f>
        <v>7</v>
      </c>
      <c r="C10" s="581">
        <f>ДО</f>
        <v>39327</v>
      </c>
      <c r="D10" s="426" t="s">
        <v>146</v>
      </c>
      <c r="E10" s="451">
        <f>E7*E3</f>
        <v>2600072320</v>
      </c>
      <c r="F10" s="797" t="s">
        <v>455</v>
      </c>
      <c r="G10" s="798"/>
      <c r="H10" s="21"/>
      <c r="I10" s="2"/>
      <c r="N10" s="22"/>
    </row>
    <row r="11" spans="2:14" ht="14.25" thickBot="1">
      <c r="B11" s="452">
        <f t="shared" si="0"/>
        <v>8</v>
      </c>
      <c r="C11" s="596">
        <f>ДО</f>
        <v>39327</v>
      </c>
      <c r="D11" s="453" t="s">
        <v>262</v>
      </c>
      <c r="E11" s="454">
        <f>E7/к</f>
        <v>1272.2751169481905</v>
      </c>
      <c r="F11" s="812" t="s">
        <v>454</v>
      </c>
      <c r="G11" s="813"/>
      <c r="H11" s="35"/>
      <c r="I11" s="2"/>
      <c r="J11" s="19"/>
      <c r="K11" s="14"/>
      <c r="L11" s="22"/>
      <c r="N11" s="22"/>
    </row>
    <row r="12" spans="2:12" ht="13.5">
      <c r="B12" s="455"/>
      <c r="C12" s="455"/>
      <c r="D12" s="455"/>
      <c r="E12" s="455"/>
      <c r="F12" s="455"/>
      <c r="G12" s="456"/>
      <c r="H12" s="19"/>
      <c r="I12" s="19"/>
      <c r="J12" s="13"/>
      <c r="K12" s="24"/>
      <c r="L12" s="22"/>
    </row>
    <row r="13" spans="2:12" ht="13.5" thickBot="1">
      <c r="B13" s="725" t="s">
        <v>263</v>
      </c>
      <c r="C13" s="725"/>
      <c r="D13" s="725"/>
      <c r="E13" s="725"/>
      <c r="F13" s="670"/>
      <c r="G13" s="442" t="s">
        <v>305</v>
      </c>
      <c r="I13" s="13"/>
      <c r="J13" s="13"/>
      <c r="K13" s="24"/>
      <c r="L13" s="13"/>
    </row>
    <row r="14" spans="2:10" ht="25.5">
      <c r="B14" s="443" t="s">
        <v>13</v>
      </c>
      <c r="C14" s="427" t="s">
        <v>31</v>
      </c>
      <c r="D14" s="427" t="s">
        <v>102</v>
      </c>
      <c r="E14" s="427" t="s">
        <v>10</v>
      </c>
      <c r="F14" s="819" t="s">
        <v>244</v>
      </c>
      <c r="G14" s="820"/>
      <c r="H14" s="13"/>
      <c r="I14" s="13"/>
      <c r="J14" s="13"/>
    </row>
    <row r="15" spans="2:7" ht="12.75">
      <c r="B15" s="444">
        <v>1</v>
      </c>
      <c r="C15" s="445" t="s">
        <v>462</v>
      </c>
      <c r="D15" s="426" t="s">
        <v>84</v>
      </c>
      <c r="E15" s="451">
        <f>'Исходные данные'!E16</f>
        <v>90000</v>
      </c>
      <c r="F15" s="800" t="s">
        <v>81</v>
      </c>
      <c r="G15" s="818"/>
    </row>
    <row r="16" spans="2:7" ht="27" customHeight="1">
      <c r="B16" s="444">
        <f aca="true" t="shared" si="1" ref="B16:B25">B15+1</f>
        <v>2</v>
      </c>
      <c r="C16" s="434" t="s">
        <v>275</v>
      </c>
      <c r="D16" s="426" t="s">
        <v>259</v>
      </c>
      <c r="E16" s="449">
        <f>E29</f>
        <v>2153.6</v>
      </c>
      <c r="F16" s="815" t="str">
        <f>G29</f>
        <v>Ко-Инвест 2007 "Общественные здания", аналог 3.9.3.090</v>
      </c>
      <c r="G16" s="816"/>
    </row>
    <row r="17" spans="2:7" ht="12.75">
      <c r="B17" s="444">
        <f t="shared" si="1"/>
        <v>3</v>
      </c>
      <c r="C17" s="457" t="s">
        <v>267</v>
      </c>
      <c r="D17" s="426" t="s">
        <v>259</v>
      </c>
      <c r="E17" s="458">
        <f>F30</f>
        <v>-254.544752</v>
      </c>
      <c r="F17" s="804" t="s">
        <v>472</v>
      </c>
      <c r="G17" s="803"/>
    </row>
    <row r="18" spans="2:7" ht="12.75">
      <c r="B18" s="444">
        <f t="shared" si="1"/>
        <v>4</v>
      </c>
      <c r="C18" s="457" t="s">
        <v>268</v>
      </c>
      <c r="D18" s="459"/>
      <c r="E18" s="459">
        <f>F35</f>
        <v>0.93</v>
      </c>
      <c r="F18" s="804" t="s">
        <v>471</v>
      </c>
      <c r="G18" s="803"/>
    </row>
    <row r="19" spans="2:7" ht="12.75">
      <c r="B19" s="444">
        <f t="shared" si="1"/>
        <v>5</v>
      </c>
      <c r="C19" s="460" t="s">
        <v>269</v>
      </c>
      <c r="D19" s="459"/>
      <c r="E19" s="291">
        <v>1.18</v>
      </c>
      <c r="F19" s="802" t="s">
        <v>276</v>
      </c>
      <c r="G19" s="803"/>
    </row>
    <row r="20" spans="2:11" ht="25.5">
      <c r="B20" s="444">
        <f t="shared" si="1"/>
        <v>6</v>
      </c>
      <c r="C20" s="460" t="s">
        <v>266</v>
      </c>
      <c r="D20" s="430"/>
      <c r="E20" s="461">
        <f>D41</f>
        <v>1.0915119363395227</v>
      </c>
      <c r="F20" s="805" t="s">
        <v>474</v>
      </c>
      <c r="G20" s="803"/>
      <c r="H20" s="29"/>
      <c r="I20" s="29"/>
      <c r="J20" s="29"/>
      <c r="K20" s="29"/>
    </row>
    <row r="21" spans="2:11" s="29" customFormat="1" ht="12.75">
      <c r="B21" s="444">
        <f t="shared" si="1"/>
        <v>7</v>
      </c>
      <c r="C21" s="581">
        <f>ДО</f>
        <v>39327</v>
      </c>
      <c r="D21" s="426" t="s">
        <v>259</v>
      </c>
      <c r="E21" s="451">
        <f>(E16+E17)*E18*E19*E20</f>
        <v>2274.7362302317374</v>
      </c>
      <c r="F21" s="805" t="s">
        <v>457</v>
      </c>
      <c r="G21" s="803"/>
      <c r="H21" s="1"/>
      <c r="I21" s="1"/>
      <c r="J21" s="1"/>
      <c r="K21" s="1"/>
    </row>
    <row r="22" spans="2:7" ht="12.75">
      <c r="B22" s="444">
        <f t="shared" si="1"/>
        <v>8</v>
      </c>
      <c r="C22" s="581">
        <f>ДО</f>
        <v>39327</v>
      </c>
      <c r="D22" s="426" t="s">
        <v>139</v>
      </c>
      <c r="E22" s="462">
        <f>E15*E21/к</f>
        <v>8014180.999426763</v>
      </c>
      <c r="F22" s="802" t="s">
        <v>459</v>
      </c>
      <c r="G22" s="803"/>
    </row>
    <row r="23" spans="2:7" ht="12.75">
      <c r="B23" s="806" t="s">
        <v>458</v>
      </c>
      <c r="C23" s="807"/>
      <c r="D23" s="807"/>
      <c r="E23" s="807"/>
      <c r="F23" s="807"/>
      <c r="G23" s="808"/>
    </row>
    <row r="24" spans="2:7" ht="12.75">
      <c r="B24" s="444">
        <f>B22+1</f>
        <v>9</v>
      </c>
      <c r="C24" s="581">
        <f>ДО</f>
        <v>39327</v>
      </c>
      <c r="D24" s="426" t="s">
        <v>146</v>
      </c>
      <c r="E24" s="451">
        <f>E21*E15</f>
        <v>204726260.72085637</v>
      </c>
      <c r="F24" s="802" t="s">
        <v>460</v>
      </c>
      <c r="G24" s="803"/>
    </row>
    <row r="25" spans="2:7" ht="13.5" thickBot="1">
      <c r="B25" s="452">
        <f t="shared" si="1"/>
        <v>10</v>
      </c>
      <c r="C25" s="596">
        <f>ДО</f>
        <v>39327</v>
      </c>
      <c r="D25" s="453" t="s">
        <v>262</v>
      </c>
      <c r="E25" s="454">
        <f>E22/'Исходные данные'!E13</f>
        <v>400.7090499713381</v>
      </c>
      <c r="F25" s="824" t="s">
        <v>461</v>
      </c>
      <c r="G25" s="825"/>
    </row>
    <row r="26" spans="2:7" ht="12.75">
      <c r="B26" s="455"/>
      <c r="C26" s="455"/>
      <c r="D26" s="455"/>
      <c r="E26" s="455"/>
      <c r="F26" s="455"/>
      <c r="G26" s="257"/>
    </row>
    <row r="27" spans="2:7" ht="13.5" thickBot="1">
      <c r="B27" s="826" t="s">
        <v>390</v>
      </c>
      <c r="C27" s="827"/>
      <c r="D27" s="827"/>
      <c r="E27" s="827"/>
      <c r="F27" s="827"/>
      <c r="G27" s="463" t="s">
        <v>306</v>
      </c>
    </row>
    <row r="28" spans="2:7" ht="25.5">
      <c r="B28" s="464" t="s">
        <v>13</v>
      </c>
      <c r="C28" s="465" t="s">
        <v>31</v>
      </c>
      <c r="D28" s="465" t="s">
        <v>51</v>
      </c>
      <c r="E28" s="466" t="s">
        <v>3</v>
      </c>
      <c r="F28" s="465" t="s">
        <v>10</v>
      </c>
      <c r="G28" s="467" t="s">
        <v>244</v>
      </c>
    </row>
    <row r="29" spans="2:7" ht="38.25">
      <c r="B29" s="444">
        <v>1</v>
      </c>
      <c r="C29" s="434" t="s">
        <v>275</v>
      </c>
      <c r="D29" s="426" t="s">
        <v>259</v>
      </c>
      <c r="E29" s="296">
        <v>2153.6</v>
      </c>
      <c r="F29" s="468"/>
      <c r="G29" s="367" t="s">
        <v>475</v>
      </c>
    </row>
    <row r="30" spans="2:7" ht="17.25" customHeight="1">
      <c r="B30" s="469" t="s">
        <v>199</v>
      </c>
      <c r="C30" s="470" t="s">
        <v>273</v>
      </c>
      <c r="D30" s="471">
        <v>3</v>
      </c>
      <c r="E30" s="471">
        <f>'Исходные данные'!E17</f>
        <v>4</v>
      </c>
      <c r="F30" s="472">
        <f>(E16*0.4303+E16*0.6*0.0708)*((D30-E30)/E30)</f>
        <v>-254.544752</v>
      </c>
      <c r="G30" s="473"/>
    </row>
    <row r="31" spans="2:7" ht="12.75">
      <c r="B31" s="444">
        <v>3</v>
      </c>
      <c r="C31" s="821" t="s">
        <v>271</v>
      </c>
      <c r="D31" s="822"/>
      <c r="E31" s="822"/>
      <c r="F31" s="822"/>
      <c r="G31" s="823"/>
    </row>
    <row r="32" spans="2:7" s="29" customFormat="1" ht="26.25" customHeight="1">
      <c r="B32" s="469" t="s">
        <v>277</v>
      </c>
      <c r="C32" s="470" t="s">
        <v>265</v>
      </c>
      <c r="D32" s="426" t="s">
        <v>238</v>
      </c>
      <c r="E32" s="451">
        <f>'Исходные данные'!E13</f>
        <v>20000</v>
      </c>
      <c r="F32" s="297">
        <v>0.93</v>
      </c>
      <c r="G32" s="474" t="s">
        <v>476</v>
      </c>
    </row>
    <row r="33" spans="2:7" ht="12.75">
      <c r="B33" s="469" t="s">
        <v>278</v>
      </c>
      <c r="C33" s="470" t="s">
        <v>234</v>
      </c>
      <c r="D33" s="426" t="s">
        <v>274</v>
      </c>
      <c r="E33" s="445" t="s">
        <v>274</v>
      </c>
      <c r="F33" s="297">
        <v>1</v>
      </c>
      <c r="G33" s="473"/>
    </row>
    <row r="34" spans="2:7" ht="25.5">
      <c r="B34" s="469" t="s">
        <v>279</v>
      </c>
      <c r="C34" s="460" t="s">
        <v>16</v>
      </c>
      <c r="D34" s="426" t="s">
        <v>198</v>
      </c>
      <c r="E34" s="475" t="s">
        <v>196</v>
      </c>
      <c r="F34" s="433">
        <v>1</v>
      </c>
      <c r="G34" s="474" t="s">
        <v>264</v>
      </c>
    </row>
    <row r="35" spans="2:7" ht="13.5" thickBot="1">
      <c r="B35" s="476" t="s">
        <v>280</v>
      </c>
      <c r="C35" s="477" t="s">
        <v>272</v>
      </c>
      <c r="D35" s="453"/>
      <c r="E35" s="478"/>
      <c r="F35" s="440">
        <f>F32*F33*F34</f>
        <v>0.93</v>
      </c>
      <c r="G35" s="479" t="s">
        <v>464</v>
      </c>
    </row>
    <row r="36" spans="2:7" ht="12.75">
      <c r="B36" s="455"/>
      <c r="C36" s="455"/>
      <c r="D36" s="455"/>
      <c r="E36" s="455"/>
      <c r="F36" s="455"/>
      <c r="G36" s="480"/>
    </row>
    <row r="37" spans="2:7" ht="13.5" thickBot="1">
      <c r="B37" s="817" t="s">
        <v>303</v>
      </c>
      <c r="C37" s="817"/>
      <c r="D37" s="817"/>
      <c r="E37" s="481" t="s">
        <v>452</v>
      </c>
      <c r="F37" s="455"/>
      <c r="G37" s="257"/>
    </row>
    <row r="38" spans="2:7" ht="25.5">
      <c r="B38" s="482" t="s">
        <v>13</v>
      </c>
      <c r="C38" s="483" t="s">
        <v>255</v>
      </c>
      <c r="D38" s="483" t="s">
        <v>10</v>
      </c>
      <c r="E38" s="484" t="s">
        <v>35</v>
      </c>
      <c r="F38" s="455"/>
      <c r="G38" s="257"/>
    </row>
    <row r="39" spans="2:7" ht="12.75">
      <c r="B39" s="485">
        <v>1</v>
      </c>
      <c r="C39" s="486" t="s">
        <v>282</v>
      </c>
      <c r="D39" s="487">
        <v>3.77</v>
      </c>
      <c r="E39" s="814" t="s">
        <v>256</v>
      </c>
      <c r="F39" s="455"/>
      <c r="G39" s="257"/>
    </row>
    <row r="40" spans="2:7" ht="12.75">
      <c r="B40" s="485">
        <v>2</v>
      </c>
      <c r="C40" s="488">
        <f>ДО</f>
        <v>39327</v>
      </c>
      <c r="D40" s="298">
        <v>4.115</v>
      </c>
      <c r="E40" s="814"/>
      <c r="F40" s="455"/>
      <c r="G40" s="257"/>
    </row>
    <row r="41" spans="2:7" ht="13.5" thickBot="1">
      <c r="B41" s="489">
        <v>3</v>
      </c>
      <c r="C41" s="490" t="s">
        <v>304</v>
      </c>
      <c r="D41" s="491">
        <f>D40/D39</f>
        <v>1.0915119363395227</v>
      </c>
      <c r="E41" s="492" t="s">
        <v>257</v>
      </c>
      <c r="F41" s="455"/>
      <c r="G41" s="257"/>
    </row>
    <row r="42" spans="2:7" ht="12.75">
      <c r="B42" s="455"/>
      <c r="C42" s="455"/>
      <c r="D42" s="455"/>
      <c r="E42" s="455"/>
      <c r="F42" s="455"/>
      <c r="G42" s="257"/>
    </row>
    <row r="43" spans="2:7" ht="12.75">
      <c r="B43" s="455"/>
      <c r="C43" s="455"/>
      <c r="D43" s="455"/>
      <c r="E43" s="455"/>
      <c r="F43" s="455"/>
      <c r="G43" s="257"/>
    </row>
    <row r="46" ht="12.75">
      <c r="G46" s="1"/>
    </row>
    <row r="47" spans="6:8" ht="12.75">
      <c r="F47" s="29"/>
      <c r="G47" s="29"/>
      <c r="H47" s="29"/>
    </row>
    <row r="48" ht="12.75">
      <c r="G48" s="1"/>
    </row>
    <row r="49" ht="12.75">
      <c r="G49" s="1"/>
    </row>
    <row r="50" ht="12.75">
      <c r="G50" s="1"/>
    </row>
  </sheetData>
  <sheetProtection password="D076" sheet="1" objects="1" scenarios="1"/>
  <mergeCells count="28">
    <mergeCell ref="E39:E40"/>
    <mergeCell ref="B13:F13"/>
    <mergeCell ref="F16:G16"/>
    <mergeCell ref="B37:D37"/>
    <mergeCell ref="F21:G21"/>
    <mergeCell ref="F15:G15"/>
    <mergeCell ref="F14:G14"/>
    <mergeCell ref="C31:G31"/>
    <mergeCell ref="F25:G25"/>
    <mergeCell ref="B27:F27"/>
    <mergeCell ref="F8:G8"/>
    <mergeCell ref="C9:G9"/>
    <mergeCell ref="F10:G10"/>
    <mergeCell ref="F11:G11"/>
    <mergeCell ref="F22:G22"/>
    <mergeCell ref="F17:G17"/>
    <mergeCell ref="F24:G24"/>
    <mergeCell ref="F18:G18"/>
    <mergeCell ref="F19:G19"/>
    <mergeCell ref="F20:G20"/>
    <mergeCell ref="B23:G23"/>
    <mergeCell ref="B1:F1"/>
    <mergeCell ref="F4:G4"/>
    <mergeCell ref="F5:G5"/>
    <mergeCell ref="F7:G7"/>
    <mergeCell ref="F2:G2"/>
    <mergeCell ref="F3:G3"/>
    <mergeCell ref="F6:G6"/>
  </mergeCells>
  <dataValidations count="1">
    <dataValidation type="decimal" operator="greaterThan" allowBlank="1" showInputMessage="1" showErrorMessage="1" sqref="E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28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5" sqref="A5:P5"/>
    </sheetView>
  </sheetViews>
  <sheetFormatPr defaultColWidth="9.140625" defaultRowHeight="12.75"/>
  <cols>
    <col min="1" max="1" width="3.00390625" style="415" customWidth="1"/>
    <col min="2" max="2" width="29.7109375" style="44" customWidth="1"/>
    <col min="3" max="3" width="6.7109375" style="44" bestFit="1" customWidth="1"/>
    <col min="4" max="4" width="10.8515625" style="44" bestFit="1" customWidth="1"/>
    <col min="5" max="6" width="8.421875" style="44" bestFit="1" customWidth="1"/>
    <col min="7" max="13" width="9.28125" style="44" bestFit="1" customWidth="1"/>
    <col min="14" max="15" width="8.7109375" style="44" bestFit="1" customWidth="1"/>
    <col min="16" max="16" width="13.140625" style="44" customWidth="1"/>
    <col min="17" max="16384" width="9.140625" style="44" customWidth="1"/>
  </cols>
  <sheetData>
    <row r="1" ht="11.25">
      <c r="E1" s="132"/>
    </row>
    <row r="2" spans="1:16" ht="13.5" thickBot="1">
      <c r="A2" s="835" t="s">
        <v>144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90" t="s">
        <v>307</v>
      </c>
    </row>
    <row r="3" spans="1:20" ht="15.75" customHeight="1" thickBot="1">
      <c r="A3" s="831" t="s">
        <v>13</v>
      </c>
      <c r="B3" s="833" t="s">
        <v>31</v>
      </c>
      <c r="C3" s="840" t="s">
        <v>138</v>
      </c>
      <c r="D3" s="837" t="s">
        <v>25</v>
      </c>
      <c r="E3" s="838"/>
      <c r="F3" s="838"/>
      <c r="G3" s="839"/>
      <c r="H3" s="837" t="s">
        <v>26</v>
      </c>
      <c r="I3" s="838"/>
      <c r="J3" s="838"/>
      <c r="K3" s="839"/>
      <c r="L3" s="837" t="s">
        <v>27</v>
      </c>
      <c r="M3" s="838"/>
      <c r="N3" s="838"/>
      <c r="O3" s="839"/>
      <c r="P3" s="833" t="s">
        <v>90</v>
      </c>
      <c r="Q3" s="42"/>
      <c r="R3" s="42"/>
      <c r="S3" s="42"/>
      <c r="T3" s="42"/>
    </row>
    <row r="4" spans="1:20" ht="30" customHeight="1" thickBot="1">
      <c r="A4" s="832"/>
      <c r="B4" s="834"/>
      <c r="C4" s="841"/>
      <c r="D4" s="131" t="s">
        <v>91</v>
      </c>
      <c r="E4" s="131" t="s">
        <v>92</v>
      </c>
      <c r="F4" s="131" t="s">
        <v>93</v>
      </c>
      <c r="G4" s="131" t="s">
        <v>94</v>
      </c>
      <c r="H4" s="131" t="s">
        <v>103</v>
      </c>
      <c r="I4" s="131" t="s">
        <v>124</v>
      </c>
      <c r="J4" s="131" t="s">
        <v>125</v>
      </c>
      <c r="K4" s="131" t="s">
        <v>126</v>
      </c>
      <c r="L4" s="131" t="s">
        <v>127</v>
      </c>
      <c r="M4" s="131" t="s">
        <v>128</v>
      </c>
      <c r="N4" s="131" t="s">
        <v>129</v>
      </c>
      <c r="O4" s="131" t="s">
        <v>130</v>
      </c>
      <c r="P4" s="834"/>
      <c r="Q4" s="42"/>
      <c r="R4" s="42"/>
      <c r="S4" s="42"/>
      <c r="T4" s="42"/>
    </row>
    <row r="5" spans="1:20" ht="12.75">
      <c r="A5" s="828" t="s">
        <v>135</v>
      </c>
      <c r="B5" s="717"/>
      <c r="C5" s="717"/>
      <c r="D5" s="717"/>
      <c r="E5" s="717"/>
      <c r="F5" s="717"/>
      <c r="G5" s="717"/>
      <c r="H5" s="717"/>
      <c r="I5" s="717"/>
      <c r="J5" s="717"/>
      <c r="K5" s="717"/>
      <c r="L5" s="717"/>
      <c r="M5" s="717"/>
      <c r="N5" s="717"/>
      <c r="O5" s="717"/>
      <c r="P5" s="829"/>
      <c r="Q5" s="42"/>
      <c r="R5" s="42"/>
      <c r="S5" s="42"/>
      <c r="T5" s="42"/>
    </row>
    <row r="6" spans="1:20" ht="22.5">
      <c r="A6" s="417">
        <v>1</v>
      </c>
      <c r="B6" s="129" t="s">
        <v>140</v>
      </c>
      <c r="C6" s="242" t="s">
        <v>33</v>
      </c>
      <c r="D6" s="108">
        <f>'Таблицы для Отчета'!D42</f>
        <v>0.05</v>
      </c>
      <c r="E6" s="46">
        <f>'Таблицы для Отчета'!E42</f>
        <v>0.05</v>
      </c>
      <c r="F6" s="46">
        <f>'Таблицы для Отчета'!F42</f>
        <v>0.05</v>
      </c>
      <c r="G6" s="109">
        <f>'Таблицы для Отчета'!G42</f>
        <v>0.05</v>
      </c>
      <c r="H6" s="108">
        <f>'Таблицы для Отчета'!H42</f>
        <v>0.125</v>
      </c>
      <c r="I6" s="46">
        <f>'Таблицы для Отчета'!I42</f>
        <v>0.125</v>
      </c>
      <c r="J6" s="46">
        <f>'Таблицы для Отчета'!J42</f>
        <v>0.125</v>
      </c>
      <c r="K6" s="109">
        <f>'Таблицы для Отчета'!K42</f>
        <v>0.125</v>
      </c>
      <c r="L6" s="108">
        <f>'Таблицы для Отчета'!L42</f>
        <v>0.1</v>
      </c>
      <c r="M6" s="46">
        <f>'Таблицы для Отчета'!M42</f>
        <v>0.1</v>
      </c>
      <c r="N6" s="46">
        <f>'Таблицы для Отчета'!N42</f>
        <v>0.05</v>
      </c>
      <c r="O6" s="109">
        <f>'Таблицы для Отчета'!O42</f>
        <v>0.05</v>
      </c>
      <c r="P6" s="115">
        <f>SUM(D6:O6)</f>
        <v>1</v>
      </c>
      <c r="Q6" s="42"/>
      <c r="R6" s="42"/>
      <c r="S6" s="42"/>
      <c r="T6" s="42"/>
    </row>
    <row r="7" spans="1:16" ht="22.5">
      <c r="A7" s="417">
        <f aca="true" t="shared" si="0" ref="A7:A51">A6+1</f>
        <v>2</v>
      </c>
      <c r="B7" s="129" t="s">
        <v>375</v>
      </c>
      <c r="C7" s="242" t="s">
        <v>33</v>
      </c>
      <c r="D7" s="108">
        <f>'Таблицы для Отчета'!D7</f>
        <v>0.01860464769999559</v>
      </c>
      <c r="E7" s="46">
        <f>'Таблицы для Отчета'!E7</f>
        <v>0.0565062089320687</v>
      </c>
      <c r="F7" s="46">
        <f>'Таблицы для Отчета'!F7</f>
        <v>0.09581806055214681</v>
      </c>
      <c r="G7" s="109">
        <f>'Таблицы для Отчета'!G7</f>
        <v>0.13659267847187717</v>
      </c>
      <c r="H7" s="108">
        <f>'Таблицы для Отчета'!H7</f>
        <v>0.17654592777205647</v>
      </c>
      <c r="I7" s="46">
        <f>'Таблицы для Отчета'!I7</f>
        <v>0.21790360467402925</v>
      </c>
      <c r="J7" s="46">
        <f>'Таблицы для Отчета'!J7</f>
        <v>0.260715077299869</v>
      </c>
      <c r="K7" s="109">
        <f>'Таблицы для Отчета'!K7</f>
        <v>0.3050314491487336</v>
      </c>
      <c r="L7" s="108">
        <f>'Таблицы для Отчета'!L7</f>
        <v>0.3485726804108633</v>
      </c>
      <c r="M7" s="46">
        <f>'Таблицы для Отчета'!M7</f>
        <v>0.39356662671756837</v>
      </c>
      <c r="N7" s="46">
        <f>'Таблицы для Отчета'!N7</f>
        <v>0.44006175663392044</v>
      </c>
      <c r="O7" s="109">
        <f>'Таблицы для Отчета'!O7</f>
        <v>0.48810815583621303</v>
      </c>
      <c r="P7" s="116">
        <f>AVERAGE(D7:O7)</f>
        <v>0.2448355728457785</v>
      </c>
    </row>
    <row r="8" spans="1:20" ht="22.5">
      <c r="A8" s="417">
        <f t="shared" si="0"/>
        <v>3</v>
      </c>
      <c r="B8" s="129" t="s">
        <v>136</v>
      </c>
      <c r="C8" s="242" t="s">
        <v>139</v>
      </c>
      <c r="D8" s="226">
        <f>D6*-1*Затраты!$E8</f>
        <v>-5089100.467792762</v>
      </c>
      <c r="E8" s="45">
        <f>E6*-1*Затраты!$E8</f>
        <v>-5089100.467792762</v>
      </c>
      <c r="F8" s="45">
        <f>F6*-1*Затраты!$E8</f>
        <v>-5089100.467792762</v>
      </c>
      <c r="G8" s="241">
        <f>G6*-1*Затраты!$E8</f>
        <v>-5089100.467792762</v>
      </c>
      <c r="H8" s="226">
        <f>H6*-1*Затраты!$E8</f>
        <v>-12722751.169481905</v>
      </c>
      <c r="I8" s="45">
        <f>I6*-1*Затраты!$E8</f>
        <v>-12722751.169481905</v>
      </c>
      <c r="J8" s="45">
        <f>J6*-1*Затраты!$E8</f>
        <v>-12722751.169481905</v>
      </c>
      <c r="K8" s="241">
        <f>K6*-1*Затраты!$E8</f>
        <v>-12722751.169481905</v>
      </c>
      <c r="L8" s="226">
        <f>L6*-1*Затраты!$E8</f>
        <v>-10178200.935585525</v>
      </c>
      <c r="M8" s="45">
        <f>M6*-1*Затраты!$E8</f>
        <v>-10178200.935585525</v>
      </c>
      <c r="N8" s="45">
        <f>N6*-1*Затраты!$E8</f>
        <v>-5089100.467792762</v>
      </c>
      <c r="O8" s="102">
        <f>O6*-1*Затраты!$E8</f>
        <v>-5089100.467792762</v>
      </c>
      <c r="P8" s="117">
        <f>SUM(D8:O8)</f>
        <v>-101782009.35585526</v>
      </c>
      <c r="Q8" s="42"/>
      <c r="R8" s="42"/>
      <c r="S8" s="42"/>
      <c r="T8" s="42"/>
    </row>
    <row r="9" spans="1:16" s="90" customFormat="1" ht="32.25" thickBot="1">
      <c r="A9" s="513">
        <f t="shared" si="0"/>
        <v>4</v>
      </c>
      <c r="B9" s="370" t="s">
        <v>142</v>
      </c>
      <c r="C9" s="369" t="s">
        <v>139</v>
      </c>
      <c r="D9" s="371">
        <f aca="true" t="shared" si="1" ref="D9:O9">D8*(1+D7)</f>
        <v>-5183781.38910593</v>
      </c>
      <c r="E9" s="372">
        <f t="shared" si="1"/>
        <v>-5376666.242102149</v>
      </c>
      <c r="F9" s="372">
        <f t="shared" si="1"/>
        <v>-5576728.204571688</v>
      </c>
      <c r="G9" s="373">
        <f t="shared" si="1"/>
        <v>-5784234.331701059</v>
      </c>
      <c r="H9" s="371">
        <f t="shared" si="1"/>
        <v>-14968901.078511104</v>
      </c>
      <c r="I9" s="372">
        <f t="shared" si="1"/>
        <v>-15495084.510682734</v>
      </c>
      <c r="J9" s="372">
        <f t="shared" si="1"/>
        <v>-16039764.22410038</v>
      </c>
      <c r="K9" s="373">
        <f t="shared" si="1"/>
        <v>-16603590.395867717</v>
      </c>
      <c r="L9" s="371">
        <f t="shared" si="1"/>
        <v>-13726043.717462927</v>
      </c>
      <c r="M9" s="372">
        <f t="shared" si="1"/>
        <v>-14184001.143857518</v>
      </c>
      <c r="N9" s="372">
        <f t="shared" si="1"/>
        <v>-7328618.959336151</v>
      </c>
      <c r="O9" s="373">
        <f t="shared" si="1"/>
        <v>-7573131.911992297</v>
      </c>
      <c r="P9" s="374">
        <f>SUM(D9:O9)</f>
        <v>-127840546.10929166</v>
      </c>
    </row>
    <row r="10" spans="1:16" ht="22.5">
      <c r="A10" s="416">
        <f t="shared" si="0"/>
        <v>5</v>
      </c>
      <c r="B10" s="583" t="s">
        <v>62</v>
      </c>
      <c r="C10" s="582" t="s">
        <v>139</v>
      </c>
      <c r="D10" s="584">
        <f>-1*Затраты!$E22*Расчет!D6</f>
        <v>-400709.0499713381</v>
      </c>
      <c r="E10" s="585">
        <f>-1*Затраты!$E22*Расчет!E6</f>
        <v>-400709.0499713381</v>
      </c>
      <c r="F10" s="585">
        <f>-1*Затраты!$E22*Расчет!F6</f>
        <v>-400709.0499713381</v>
      </c>
      <c r="G10" s="586">
        <f>-1*Затраты!$E22*Расчет!G6</f>
        <v>-400709.0499713381</v>
      </c>
      <c r="H10" s="584">
        <f>-1*Затраты!$E22*Расчет!H6</f>
        <v>-1001772.6249283453</v>
      </c>
      <c r="I10" s="585">
        <f>-1*Затраты!$E22*Расчет!I6</f>
        <v>-1001772.6249283453</v>
      </c>
      <c r="J10" s="585">
        <f>-1*Затраты!$E22*Расчет!J6</f>
        <v>-1001772.6249283453</v>
      </c>
      <c r="K10" s="586">
        <f>-1*Затраты!$E22*Расчет!K6</f>
        <v>-1001772.6249283453</v>
      </c>
      <c r="L10" s="584">
        <f>-1*Затраты!$E22*Расчет!L6</f>
        <v>-801418.0999426763</v>
      </c>
      <c r="M10" s="585">
        <f>-1*Затраты!$E22*Расчет!M6</f>
        <v>-801418.0999426763</v>
      </c>
      <c r="N10" s="585">
        <f>-1*Затраты!$E22*Расчет!N6</f>
        <v>-400709.0499713381</v>
      </c>
      <c r="O10" s="587">
        <f>-1*Затраты!$E22*Расчет!O6</f>
        <v>-400709.0499713381</v>
      </c>
      <c r="P10" s="588">
        <f>SUM(D10:O10)</f>
        <v>-8014180.9994267635</v>
      </c>
    </row>
    <row r="11" spans="1:16" s="90" customFormat="1" ht="32.25" thickBot="1">
      <c r="A11" s="594">
        <f t="shared" si="0"/>
        <v>6</v>
      </c>
      <c r="B11" s="370" t="s">
        <v>141</v>
      </c>
      <c r="C11" s="369" t="s">
        <v>139</v>
      </c>
      <c r="D11" s="371">
        <f aca="true" t="shared" si="2" ref="D11:O11">D10*(1+D7)</f>
        <v>-408164.10067625483</v>
      </c>
      <c r="E11" s="372">
        <f t="shared" si="2"/>
        <v>-423351.5992699893</v>
      </c>
      <c r="F11" s="372">
        <f t="shared" si="2"/>
        <v>-439104.213985285</v>
      </c>
      <c r="G11" s="373">
        <f t="shared" si="2"/>
        <v>-455442.97239484446</v>
      </c>
      <c r="H11" s="371">
        <f t="shared" si="2"/>
        <v>-1178631.5024129683</v>
      </c>
      <c r="I11" s="372">
        <f t="shared" si="2"/>
        <v>-1220062.4909639962</v>
      </c>
      <c r="J11" s="372">
        <f t="shared" si="2"/>
        <v>-1262949.8522734316</v>
      </c>
      <c r="K11" s="373">
        <f t="shared" si="2"/>
        <v>-1307344.7804277693</v>
      </c>
      <c r="L11" s="371">
        <f t="shared" si="2"/>
        <v>-1080770.555169476</v>
      </c>
      <c r="M11" s="372">
        <f t="shared" si="2"/>
        <v>-1116829.5181275185</v>
      </c>
      <c r="N11" s="372">
        <f t="shared" si="2"/>
        <v>-577045.7784008346</v>
      </c>
      <c r="O11" s="373">
        <f t="shared" si="2"/>
        <v>-596298.4053797289</v>
      </c>
      <c r="P11" s="374">
        <f>SUM(D11:O11)</f>
        <v>-10065995.769482097</v>
      </c>
    </row>
    <row r="12" spans="1:20" s="90" customFormat="1" ht="21">
      <c r="A12" s="416">
        <f t="shared" si="0"/>
        <v>7</v>
      </c>
      <c r="B12" s="377" t="s">
        <v>137</v>
      </c>
      <c r="C12" s="376" t="s">
        <v>139</v>
      </c>
      <c r="D12" s="378">
        <f>D13+D14</f>
        <v>0</v>
      </c>
      <c r="E12" s="379">
        <v>0</v>
      </c>
      <c r="F12" s="379">
        <f aca="true" t="shared" si="3" ref="F12:O12">F13+F14</f>
        <v>0</v>
      </c>
      <c r="G12" s="380">
        <f t="shared" si="3"/>
        <v>-27823051.041279286</v>
      </c>
      <c r="H12" s="378">
        <f t="shared" si="3"/>
        <v>0</v>
      </c>
      <c r="I12" s="379">
        <f t="shared" si="3"/>
        <v>0</v>
      </c>
      <c r="J12" s="379">
        <f t="shared" si="3"/>
        <v>0</v>
      </c>
      <c r="K12" s="380">
        <f t="shared" si="3"/>
        <v>0</v>
      </c>
      <c r="L12" s="378">
        <f t="shared" si="3"/>
        <v>0</v>
      </c>
      <c r="M12" s="379">
        <f t="shared" si="3"/>
        <v>0</v>
      </c>
      <c r="N12" s="379">
        <f t="shared" si="3"/>
        <v>0</v>
      </c>
      <c r="O12" s="380">
        <f t="shared" si="3"/>
        <v>0</v>
      </c>
      <c r="P12" s="381">
        <f>SUM(F12:O12)</f>
        <v>-27823051.041279286</v>
      </c>
      <c r="Q12" s="91"/>
      <c r="R12" s="91"/>
      <c r="S12" s="91"/>
      <c r="T12" s="91"/>
    </row>
    <row r="13" spans="1:20" ht="11.25">
      <c r="A13" s="417">
        <f t="shared" si="0"/>
        <v>8</v>
      </c>
      <c r="B13" s="129" t="s">
        <v>405</v>
      </c>
      <c r="C13" s="242" t="s">
        <v>139</v>
      </c>
      <c r="D13" s="111"/>
      <c r="E13" s="49"/>
      <c r="F13" s="49"/>
      <c r="G13" s="112">
        <f>-1*'Исходные данные'!E7*'Исходные данные'!E24</f>
        <v>-8250</v>
      </c>
      <c r="H13" s="111"/>
      <c r="I13" s="50"/>
      <c r="J13" s="50"/>
      <c r="K13" s="113"/>
      <c r="L13" s="114"/>
      <c r="M13" s="50"/>
      <c r="N13" s="50"/>
      <c r="O13" s="113"/>
      <c r="P13" s="118">
        <f>SUM(D13:O13)</f>
        <v>-8250</v>
      </c>
      <c r="Q13" s="42"/>
      <c r="R13" s="42"/>
      <c r="S13" s="42"/>
      <c r="T13" s="42"/>
    </row>
    <row r="14" spans="1:20" ht="23.25" thickBot="1">
      <c r="A14" s="594">
        <f t="shared" si="0"/>
        <v>9</v>
      </c>
      <c r="B14" s="368" t="s">
        <v>404</v>
      </c>
      <c r="C14" s="369" t="s">
        <v>139</v>
      </c>
      <c r="D14" s="382"/>
      <c r="E14" s="383"/>
      <c r="F14" s="384"/>
      <c r="G14" s="385">
        <f>-1*'Исходные данные'!E20/к</f>
        <v>-27814801.041279286</v>
      </c>
      <c r="H14" s="386"/>
      <c r="I14" s="383"/>
      <c r="J14" s="383"/>
      <c r="K14" s="387"/>
      <c r="L14" s="386"/>
      <c r="M14" s="383"/>
      <c r="N14" s="383"/>
      <c r="O14" s="387"/>
      <c r="P14" s="118">
        <f>SUM(D14:O14)</f>
        <v>-27814801.041279286</v>
      </c>
      <c r="Q14" s="42"/>
      <c r="R14" s="42"/>
      <c r="S14" s="42"/>
      <c r="T14" s="42"/>
    </row>
    <row r="15" spans="1:20" s="90" customFormat="1" ht="11.25">
      <c r="A15" s="416">
        <f t="shared" si="0"/>
        <v>10</v>
      </c>
      <c r="B15" s="377" t="s">
        <v>69</v>
      </c>
      <c r="C15" s="376" t="s">
        <v>139</v>
      </c>
      <c r="D15" s="378">
        <f>D16+D17</f>
        <v>-11743.751345638175</v>
      </c>
      <c r="E15" s="379">
        <f aca="true" t="shared" si="4" ref="E15:O15">E16+E17</f>
        <v>-11743.751345638175</v>
      </c>
      <c r="F15" s="379">
        <f t="shared" si="4"/>
        <v>-11743.751345638175</v>
      </c>
      <c r="G15" s="380">
        <f t="shared" si="4"/>
        <v>-11743.751345638175</v>
      </c>
      <c r="H15" s="378">
        <f t="shared" si="4"/>
        <v>-817347.8884113932</v>
      </c>
      <c r="I15" s="379">
        <f t="shared" si="4"/>
        <v>-886088.4962408508</v>
      </c>
      <c r="J15" s="379">
        <f t="shared" si="4"/>
        <v>-947284.920825767</v>
      </c>
      <c r="K15" s="380">
        <f t="shared" si="4"/>
        <v>-988547.9676911309</v>
      </c>
      <c r="L15" s="378">
        <f t="shared" si="4"/>
        <v>-1148753.98538614</v>
      </c>
      <c r="M15" s="379">
        <f t="shared" si="4"/>
        <v>-1194545.2822629302</v>
      </c>
      <c r="N15" s="379">
        <f t="shared" si="4"/>
        <v>-1242080.666003844</v>
      </c>
      <c r="O15" s="380">
        <f t="shared" si="4"/>
        <v>-1464791.475178584</v>
      </c>
      <c r="P15" s="381">
        <f>SUM(D15:O15)</f>
        <v>-8736415.687383194</v>
      </c>
      <c r="Q15" s="91"/>
      <c r="R15" s="91"/>
      <c r="S15" s="91"/>
      <c r="T15" s="91"/>
    </row>
    <row r="16" spans="1:20" ht="11.25">
      <c r="A16" s="417">
        <f t="shared" si="0"/>
        <v>11</v>
      </c>
      <c r="B16" s="129" t="s">
        <v>85</v>
      </c>
      <c r="C16" s="242" t="s">
        <v>139</v>
      </c>
      <c r="D16" s="301">
        <f>-1*D42*'Исходные данные'!$E22</f>
        <v>0</v>
      </c>
      <c r="E16" s="302">
        <f>-1*E42*'Исходные данные'!$E22</f>
        <v>0</v>
      </c>
      <c r="F16" s="302">
        <f>-1*F42*'Исходные данные'!$E22</f>
        <v>0</v>
      </c>
      <c r="G16" s="303">
        <f>-1*G42*'Исходные данные'!$E22</f>
        <v>0</v>
      </c>
      <c r="H16" s="299">
        <f>-1*H42*'Исходные данные'!$E22</f>
        <v>-805604.137065755</v>
      </c>
      <c r="I16" s="49">
        <f>-1*I42*'Исходные данные'!$E22</f>
        <v>-874344.7448952126</v>
      </c>
      <c r="J16" s="49">
        <f>-1*J42*'Исходные данные'!$E22</f>
        <v>-935541.1694801288</v>
      </c>
      <c r="K16" s="300">
        <f>-1*K42*'Исходные данные'!$E22</f>
        <v>-976804.2163454928</v>
      </c>
      <c r="L16" s="299">
        <f>-1*L42*'Исходные данные'!$E22</f>
        <v>-1137010.2340405018</v>
      </c>
      <c r="M16" s="49">
        <f>-1*M42*'Исходные данные'!$E22</f>
        <v>-1182801.530917292</v>
      </c>
      <c r="N16" s="49">
        <f>-1*N42*'Исходные данные'!$E22</f>
        <v>-1230336.9146582058</v>
      </c>
      <c r="O16" s="103">
        <f>-1*O42*'Исходные данные'!$E22</f>
        <v>-1453047.7238329458</v>
      </c>
      <c r="P16" s="118">
        <f>SUM(H16:O16)</f>
        <v>-8595490.671235535</v>
      </c>
      <c r="Q16" s="42"/>
      <c r="R16" s="42"/>
      <c r="S16" s="42"/>
      <c r="T16" s="42"/>
    </row>
    <row r="17" spans="1:20" s="88" customFormat="1" ht="12" thickBot="1">
      <c r="A17" s="594">
        <f t="shared" si="0"/>
        <v>12</v>
      </c>
      <c r="B17" s="394" t="s">
        <v>132</v>
      </c>
      <c r="C17" s="395" t="s">
        <v>139</v>
      </c>
      <c r="D17" s="396">
        <f>-1*'Исходные данные'!$E25/к</f>
        <v>-11743.751345638175</v>
      </c>
      <c r="E17" s="397">
        <f>-1*'Исходные данные'!$E25/к</f>
        <v>-11743.751345638175</v>
      </c>
      <c r="F17" s="397">
        <f>-1*'Исходные данные'!$E25/к</f>
        <v>-11743.751345638175</v>
      </c>
      <c r="G17" s="428">
        <f>-1*'Исходные данные'!$E25/к</f>
        <v>-11743.751345638175</v>
      </c>
      <c r="H17" s="396">
        <f>-1*'Исходные данные'!$E25/к</f>
        <v>-11743.751345638175</v>
      </c>
      <c r="I17" s="397">
        <f>-1*'Исходные данные'!$E25/к</f>
        <v>-11743.751345638175</v>
      </c>
      <c r="J17" s="397">
        <f>-1*'Исходные данные'!$E25/к</f>
        <v>-11743.751345638175</v>
      </c>
      <c r="K17" s="428">
        <f>-1*'Исходные данные'!$E25/к</f>
        <v>-11743.751345638175</v>
      </c>
      <c r="L17" s="396">
        <f>-1*'Исходные данные'!$E25/к</f>
        <v>-11743.751345638175</v>
      </c>
      <c r="M17" s="397">
        <f>-1*'Исходные данные'!$E25/к</f>
        <v>-11743.751345638175</v>
      </c>
      <c r="N17" s="397">
        <f>-1*'Исходные данные'!$E25/к</f>
        <v>-11743.751345638175</v>
      </c>
      <c r="O17" s="493">
        <f>-1*'Исходные данные'!$E25/к</f>
        <v>-11743.751345638175</v>
      </c>
      <c r="P17" s="398">
        <f>SUM(D17:O17)</f>
        <v>-140925.01614765808</v>
      </c>
      <c r="Q17" s="89"/>
      <c r="R17" s="89"/>
      <c r="S17" s="89"/>
      <c r="T17" s="89"/>
    </row>
    <row r="18" spans="1:20" s="93" customFormat="1" ht="12.75" customHeight="1">
      <c r="A18" s="416">
        <f t="shared" si="0"/>
        <v>13</v>
      </c>
      <c r="B18" s="388" t="s">
        <v>134</v>
      </c>
      <c r="C18" s="389" t="s">
        <v>139</v>
      </c>
      <c r="D18" s="390">
        <f aca="true" t="shared" si="5" ref="D18:O18">D9+D11+D12+D15</f>
        <v>-5603689.241127823</v>
      </c>
      <c r="E18" s="391">
        <f t="shared" si="5"/>
        <v>-5811761.592717776</v>
      </c>
      <c r="F18" s="391">
        <f t="shared" si="5"/>
        <v>-6027576.169902611</v>
      </c>
      <c r="G18" s="392">
        <f t="shared" si="5"/>
        <v>-34074472.09672082</v>
      </c>
      <c r="H18" s="390">
        <f t="shared" si="5"/>
        <v>-16964880.469335463</v>
      </c>
      <c r="I18" s="391">
        <f t="shared" si="5"/>
        <v>-17601235.49788758</v>
      </c>
      <c r="J18" s="391">
        <f t="shared" si="5"/>
        <v>-18249998.99719958</v>
      </c>
      <c r="K18" s="392">
        <f t="shared" si="5"/>
        <v>-18899483.143986616</v>
      </c>
      <c r="L18" s="390">
        <f t="shared" si="5"/>
        <v>-15955568.258018544</v>
      </c>
      <c r="M18" s="391">
        <f t="shared" si="5"/>
        <v>-16495375.944247967</v>
      </c>
      <c r="N18" s="391">
        <f t="shared" si="5"/>
        <v>-9147745.40374083</v>
      </c>
      <c r="O18" s="392">
        <f t="shared" si="5"/>
        <v>-9634221.79255061</v>
      </c>
      <c r="P18" s="393">
        <f>SUM(D18:O18)</f>
        <v>-174466008.6074362</v>
      </c>
      <c r="Q18" s="92"/>
      <c r="R18" s="92"/>
      <c r="S18" s="92"/>
      <c r="T18" s="92"/>
    </row>
    <row r="19" spans="1:20" ht="12.75">
      <c r="A19" s="417"/>
      <c r="B19" s="830" t="s">
        <v>86</v>
      </c>
      <c r="C19" s="620"/>
      <c r="D19" s="620"/>
      <c r="E19" s="620"/>
      <c r="F19" s="620"/>
      <c r="G19" s="620"/>
      <c r="H19" s="620"/>
      <c r="I19" s="620"/>
      <c r="J19" s="620"/>
      <c r="K19" s="620"/>
      <c r="L19" s="620"/>
      <c r="M19" s="620"/>
      <c r="N19" s="620"/>
      <c r="O19" s="621"/>
      <c r="P19" s="118"/>
      <c r="Q19" s="42"/>
      <c r="R19" s="42"/>
      <c r="S19" s="42"/>
      <c r="T19" s="42"/>
    </row>
    <row r="20" spans="1:16" ht="36" customHeight="1">
      <c r="A20" s="417">
        <f>A18+1</f>
        <v>14</v>
      </c>
      <c r="B20" s="129" t="s">
        <v>411</v>
      </c>
      <c r="C20" s="242" t="s">
        <v>262</v>
      </c>
      <c r="D20" s="299">
        <f>(D9-('Исходные данные'!$E20/к*Расчет!D6-Расчет!D13-Расчет!D15)*('Исходные данные'!$E10/'Исходные данные'!$E9))/('Исходные данные'!$E10*Расчет!D6)</f>
        <v>-1576.4421079584029</v>
      </c>
      <c r="E20" s="49">
        <f>(E9-('Исходные данные'!$E20/к*Расчет!E6-Расчет!E13-Расчет!E15)*('Исходные данные'!$E10/'Исходные данные'!$E9))/('Исходные данные'!$E10*Расчет!E6)</f>
        <v>-1624.6633212074578</v>
      </c>
      <c r="F20" s="49">
        <f>(F9-('Исходные данные'!$E20/к*Расчет!F6-Расчет!F13-Расчет!F15)*('Исходные данные'!$E10/'Исходные данные'!$E9))/('Исходные данные'!$E10*Расчет!F6)</f>
        <v>-1674.6788118248423</v>
      </c>
      <c r="G20" s="541">
        <f>(G9-('Исходные данные'!$E20/к*Расчет!G6-Расчет!G13-Расчет!G15)*('Исходные данные'!$E10/'Исходные данные'!$E9))/('Исходные данные'!$E10*Расчет!G6)</f>
        <v>-1728.2053436071851</v>
      </c>
      <c r="H20" s="299">
        <f>(H9-('Исходные данные'!$E20/к*Расчет!H6-Расчет!H13-Расчет!H15)*('Исходные данные'!$E10/'Исходные данные'!$E9))/('Исходные данные'!$E10*Расчет!H6)</f>
        <v>-1840.425949336815</v>
      </c>
      <c r="I20" s="49">
        <f>(I9-('Исходные данные'!$E20/к*Расчет!I6-Расчет!I13-Расчет!I15)*('Исходные данные'!$E10/'Исходные данные'!$E9))/('Исходные данные'!$E10*Расчет!I6)</f>
        <v>-1898.5435411803342</v>
      </c>
      <c r="J20" s="49">
        <f>(J9-('Исходные данные'!$E20/к*Расчет!J6-Расчет!J13-Расчет!J15)*('Исходные данные'!$E10/'Исходные данные'!$E9))/('Исходные данные'!$E10*Расчет!J6)</f>
        <v>-1957.907226488892</v>
      </c>
      <c r="K20" s="541">
        <f>(K9-('Исходные данные'!$E20/к*Расчет!K6-Расчет!K13-Расчет!K15)*('Исходные данные'!$E10/'Исходные данные'!$E9))/('Исходные данные'!$E10*Расчет!K6)</f>
        <v>-2017.5908874148552</v>
      </c>
      <c r="L20" s="299">
        <f>(L9-('Исходные данные'!$E20/к*Расчет!L6-Расчет!L13-Расчет!L15)*('Исходные данные'!$E10/'Исходные данные'!$E9))/('Исходные данные'!$E10*Расчет!L6)</f>
        <v>-2108.7788736342727</v>
      </c>
      <c r="M20" s="49">
        <f>(M9-('Исходные данные'!$E20/к*Расчет!M6-Расчет!M13-Расчет!M15)*('Исходные данные'!$E10/'Исходные данные'!$E9))/('Исходные данные'!$E10*Расчет!M6)</f>
        <v>-2170.6026816212757</v>
      </c>
      <c r="N20" s="49">
        <f>(N9-('Исходные данные'!$E20/к*Расчет!N6-Расчет!N13-Расчет!N15)*('Исходные данные'!$E10/'Исходные данные'!$E9))/('Исходные данные'!$E10*Расчет!N6)</f>
        <v>-2358.7188834475996</v>
      </c>
      <c r="O20" s="103">
        <f>(O9-('Исходные данные'!$E20/к*Расчет!O6-Расчет!O13-Расчет!O15)*('Исходные данные'!$E10/'Исходные данные'!$E9))/('Исходные данные'!$E10*Расчет!O6)</f>
        <v>-2464.3892834465837</v>
      </c>
      <c r="P20" s="118">
        <f>AVERAGE(D20:O20)</f>
        <v>-1951.7455759307097</v>
      </c>
    </row>
    <row r="21" spans="1:16" ht="33" customHeight="1" thickBot="1">
      <c r="A21" s="594">
        <f t="shared" si="0"/>
        <v>15</v>
      </c>
      <c r="B21" s="368" t="s">
        <v>412</v>
      </c>
      <c r="C21" s="369" t="s">
        <v>262</v>
      </c>
      <c r="D21" s="542">
        <f>(D11-('Исходные данные'!$E20/к*Расчет!D6-Расчет!D13-Расчет!D15)*('Исходные данные'!$E13/'Исходные данные'!$E9))/('Исходные данные'!$E13*Расчет!D6)</f>
        <v>-688.6608613581753</v>
      </c>
      <c r="E21" s="384">
        <f>(E11-('Исходные данные'!$E20/к*Расчет!E6-Расчет!E13-Расчет!E15)*('Исходные данные'!$E13/'Исходные данные'!$E9))/('Исходные данные'!$E13*Расчет!E6)</f>
        <v>-703.8483599519099</v>
      </c>
      <c r="F21" s="384">
        <f>(F11-('Исходные данные'!$E20/к*Расчет!F6-Расчет!F13-Расчет!F15)*('Исходные данные'!$E13/'Исходные данные'!$E9))/('Исходные данные'!$E13*Расчет!F6)</f>
        <v>-719.6009746672055</v>
      </c>
      <c r="G21" s="543">
        <f>(G11-('Исходные данные'!$E20/к*Расчет!G6-Расчет!G13-Расчет!G15)*('Исходные данные'!$E13/'Исходные данные'!$E9))/('Исходные данные'!$E13*Расчет!G6)</f>
        <v>-737.589733076765</v>
      </c>
      <c r="H21" s="542">
        <f>(H11-('Исходные данные'!$E20/к*Расчет!H6-Расчет!H13-Расчет!H15)*('Исходные данные'!$E13/'Исходные данные'!$E9))/('Исходные данные'!$E13*Расчет!H6)</f>
        <v>-814.9884424508916</v>
      </c>
      <c r="I21" s="384">
        <f>(I11-('Исходные данные'!$E20/к*Расчет!I6-Расчет!I13-Расчет!I15)*('Исходные данные'!$E13/'Исходные данные'!$E9))/('Исходные данные'!$E13*Расчет!I6)</f>
        <v>-837.0600864976594</v>
      </c>
      <c r="J21" s="384">
        <f>(J11-('Исходные данные'!$E20/к*Расчет!J6-Расчет!J13-Расчет!J15)*('Исходные данные'!$E13/'Исходные данные'!$E9))/('Исходные данные'!$E13*Расчет!J6)</f>
        <v>-859.1107449882269</v>
      </c>
      <c r="K21" s="543">
        <f>(K11-('Исходные данные'!$E20/к*Расчет!K6-Расчет!K13-Расчет!K15)*('Исходные данные'!$E13/'Исходные данные'!$E9))/('Исходные данные'!$E13*Расчет!K6)</f>
        <v>-880.169759999191</v>
      </c>
      <c r="L21" s="542">
        <f>(L11-('Исходные данные'!$E20/к*Расчет!L6-Расчет!L13-Расчет!L15)*('Исходные данные'!$E13/'Исходные данные'!$E9))/('Исходные данные'!$E13*Расчет!L6)</f>
        <v>-933.4086865361448</v>
      </c>
      <c r="M21" s="384">
        <f>(M11-('Исходные данные'!$E20/к*Расчет!M6-Расчет!M13-Расчет!M15)*('Исходные данные'!$E13/'Исходные данные'!$E9))/('Исходные данные'!$E13*Расчет!M6)</f>
        <v>-956.0172977028452</v>
      </c>
      <c r="N21" s="384">
        <f>(N11-('Исходные данные'!$E20/к*Расчет!N6-Расчет!N13-Расчет!N15)*('Исходные данные'!$E13/'Исходные данные'!$E9))/('Исходные данные'!$E13*Расчет!N6)</f>
        <v>-1103.6099220143963</v>
      </c>
      <c r="O21" s="385">
        <f>(O11-('Исходные данные'!$E20/к*Расчет!O6-Расчет!O13-Расчет!O15)*('Исходные данные'!$E13/'Исходные данные'!$E9))/('Исходные данные'!$E13*Расчет!O6)</f>
        <v>-1167.4047108282386</v>
      </c>
      <c r="P21" s="544">
        <f>AVERAGE(D21:O21)</f>
        <v>-866.7891316726376</v>
      </c>
    </row>
    <row r="22" spans="1:20" ht="12.75">
      <c r="A22" s="828" t="s">
        <v>143</v>
      </c>
      <c r="B22" s="717"/>
      <c r="C22" s="717"/>
      <c r="D22" s="717"/>
      <c r="E22" s="717"/>
      <c r="F22" s="717"/>
      <c r="G22" s="717"/>
      <c r="H22" s="717"/>
      <c r="I22" s="717"/>
      <c r="J22" s="717"/>
      <c r="K22" s="717"/>
      <c r="L22" s="717"/>
      <c r="M22" s="717"/>
      <c r="N22" s="717"/>
      <c r="O22" s="717"/>
      <c r="P22" s="829"/>
      <c r="Q22" s="42"/>
      <c r="R22" s="42"/>
      <c r="S22" s="42"/>
      <c r="T22" s="42"/>
    </row>
    <row r="23" spans="1:20" ht="11.25">
      <c r="A23" s="417">
        <f>A21+1</f>
        <v>16</v>
      </c>
      <c r="B23" s="129" t="s">
        <v>145</v>
      </c>
      <c r="C23" s="242" t="s">
        <v>33</v>
      </c>
      <c r="D23" s="108">
        <f>'Таблицы для Отчета'!D51</f>
        <v>0</v>
      </c>
      <c r="E23" s="46">
        <f>'Таблицы для Отчета'!E51</f>
        <v>0</v>
      </c>
      <c r="F23" s="46">
        <f>'Таблицы для Отчета'!F51</f>
        <v>0</v>
      </c>
      <c r="G23" s="109">
        <f>'Таблицы для Отчета'!G51</f>
        <v>0</v>
      </c>
      <c r="H23" s="105">
        <f>'Таблицы для Отчета'!H51</f>
        <v>0.125</v>
      </c>
      <c r="I23" s="46">
        <f>'Таблицы для Отчета'!I51</f>
        <v>0.125</v>
      </c>
      <c r="J23" s="46">
        <f>'Таблицы для Отчета'!J51</f>
        <v>0.125</v>
      </c>
      <c r="K23" s="124">
        <f>'Таблицы для Отчета'!K51</f>
        <v>0.125</v>
      </c>
      <c r="L23" s="108">
        <f>'Таблицы для Отчета'!L51</f>
        <v>0.125</v>
      </c>
      <c r="M23" s="46">
        <f>'Таблицы для Отчета'!M51</f>
        <v>0.125</v>
      </c>
      <c r="N23" s="46">
        <f>'Таблицы для Отчета'!N51</f>
        <v>0.125</v>
      </c>
      <c r="O23" s="109">
        <f>'Таблицы для Отчета'!O51</f>
        <v>0.125</v>
      </c>
      <c r="P23" s="115">
        <f>SUM(D23:O23)</f>
        <v>1</v>
      </c>
      <c r="Q23" s="42"/>
      <c r="R23" s="42"/>
      <c r="S23" s="42"/>
      <c r="T23" s="42"/>
    </row>
    <row r="24" spans="1:20" ht="11.25">
      <c r="A24" s="417">
        <f t="shared" si="0"/>
        <v>17</v>
      </c>
      <c r="B24" s="129" t="s">
        <v>147</v>
      </c>
      <c r="C24" s="242" t="s">
        <v>67</v>
      </c>
      <c r="D24" s="110">
        <f>D23*'Исходные данные'!$E11</f>
        <v>0</v>
      </c>
      <c r="E24" s="45">
        <f>E23*'Исходные данные'!$E11</f>
        <v>0</v>
      </c>
      <c r="F24" s="45">
        <f>F23*'Исходные данные'!$E11</f>
        <v>0</v>
      </c>
      <c r="G24" s="102">
        <f>G23*'Исходные данные'!$E11</f>
        <v>0</v>
      </c>
      <c r="H24" s="106">
        <f>H23*'Исходные данные'!$E11</f>
        <v>5625</v>
      </c>
      <c r="I24" s="45">
        <f>I23*'Исходные данные'!$E11</f>
        <v>5625</v>
      </c>
      <c r="J24" s="45">
        <f>J23*'Исходные данные'!$E11</f>
        <v>5625</v>
      </c>
      <c r="K24" s="125">
        <f>K23*'Исходные данные'!$E11</f>
        <v>5625</v>
      </c>
      <c r="L24" s="110">
        <f>L23*'Исходные данные'!$E11</f>
        <v>5625</v>
      </c>
      <c r="M24" s="45">
        <f>M23*'Исходные данные'!$E11</f>
        <v>5625</v>
      </c>
      <c r="N24" s="45">
        <f>N23*'Исходные данные'!$E11</f>
        <v>5625</v>
      </c>
      <c r="O24" s="102">
        <f>O23*'Исходные данные'!$E11</f>
        <v>5625</v>
      </c>
      <c r="P24" s="117">
        <f>IF(SUM(D24:O24)='Исходные данные'!E11,SUM(D24:O24),"Проверьте площадь квартир")</f>
        <v>45000</v>
      </c>
      <c r="Q24" s="42"/>
      <c r="R24" s="42"/>
      <c r="S24" s="42"/>
      <c r="T24" s="42"/>
    </row>
    <row r="25" spans="1:20" ht="22.5">
      <c r="A25" s="417">
        <f t="shared" si="0"/>
        <v>18</v>
      </c>
      <c r="B25" s="129" t="s">
        <v>148</v>
      </c>
      <c r="C25" s="242" t="s">
        <v>33</v>
      </c>
      <c r="D25" s="108">
        <f>'Таблицы для Отчета'!D16</f>
        <v>0.01890099282688329</v>
      </c>
      <c r="E25" s="46">
        <f>'Таблицы для Отчета'!E16</f>
        <v>0.05741747354033366</v>
      </c>
      <c r="F25" s="46">
        <f>'Таблицы для Отчета'!F16</f>
        <v>0.09738995370514747</v>
      </c>
      <c r="G25" s="109">
        <f>'Таблицы для Отчета'!G16</f>
        <v>0.13887347299169694</v>
      </c>
      <c r="H25" s="105">
        <f>'Таблицы для Отчета'!H16</f>
        <v>0.1793696228877839</v>
      </c>
      <c r="I25" s="46">
        <f>'Таблицы для Отчета'!I16</f>
        <v>0.2213057379734178</v>
      </c>
      <c r="J25" s="46">
        <f>'Таблицы для Отчета'!J16</f>
        <v>0.26473302064073767</v>
      </c>
      <c r="K25" s="124">
        <f>'Таблицы для Отчета'!K16</f>
        <v>0.3097044939404514</v>
      </c>
      <c r="L25" s="108">
        <f>'Таблицы для Отчета'!L16</f>
        <v>0.35331697877516244</v>
      </c>
      <c r="M25" s="46">
        <f>'Таблицы для Отчета'!M16</f>
        <v>0.3983817368839273</v>
      </c>
      <c r="N25" s="46">
        <f>'Таблицы для Отчета'!N16</f>
        <v>0.44494712821850113</v>
      </c>
      <c r="O25" s="109">
        <f>'Таблицы для Отчета'!O16</f>
        <v>0.49306312309211564</v>
      </c>
      <c r="P25" s="116">
        <f>AVERAGE(D25:O25)</f>
        <v>0.24811697795634657</v>
      </c>
      <c r="Q25" s="42"/>
      <c r="R25" s="42"/>
      <c r="S25" s="42"/>
      <c r="T25" s="42"/>
    </row>
    <row r="26" spans="1:20" ht="22.5">
      <c r="A26" s="417">
        <f t="shared" si="0"/>
        <v>19</v>
      </c>
      <c r="B26" s="129" t="s">
        <v>391</v>
      </c>
      <c r="C26" s="242"/>
      <c r="D26" s="251">
        <f>'Динамические данные'!C30</f>
        <v>0</v>
      </c>
      <c r="E26" s="51">
        <f>'Динамические данные'!D30</f>
        <v>0</v>
      </c>
      <c r="F26" s="51">
        <f>'Динамические данные'!E30</f>
        <v>0</v>
      </c>
      <c r="G26" s="119">
        <f>'Динамические данные'!F30</f>
        <v>0</v>
      </c>
      <c r="H26" s="251">
        <f>'Динамические данные'!G30</f>
        <v>0.77</v>
      </c>
      <c r="I26" s="51">
        <f>'Динамические данные'!H30</f>
        <v>0.81</v>
      </c>
      <c r="J26" s="51">
        <f>'Динамические данные'!I30</f>
        <v>0.84</v>
      </c>
      <c r="K26" s="119">
        <f>'Динамические данные'!J30</f>
        <v>0.85</v>
      </c>
      <c r="L26" s="251">
        <f>'Динамические данные'!K30</f>
        <v>0.85</v>
      </c>
      <c r="M26" s="51">
        <f>'Динамические данные'!L30</f>
        <v>0.86</v>
      </c>
      <c r="N26" s="51">
        <f>'Динамические данные'!M30</f>
        <v>0.87</v>
      </c>
      <c r="O26" s="121">
        <f>'Динамические данные'!N30</f>
        <v>1</v>
      </c>
      <c r="P26" s="115"/>
      <c r="Q26" s="42"/>
      <c r="R26" s="42"/>
      <c r="S26" s="42"/>
      <c r="T26" s="42"/>
    </row>
    <row r="27" spans="1:20" s="98" customFormat="1" ht="33.75">
      <c r="A27" s="418">
        <f t="shared" si="0"/>
        <v>20</v>
      </c>
      <c r="B27" s="130" t="s">
        <v>392</v>
      </c>
      <c r="C27" s="242" t="s">
        <v>262</v>
      </c>
      <c r="D27" s="122">
        <f>'Продажа квартир'!$C43*(1+D25)*D26</f>
        <v>0</v>
      </c>
      <c r="E27" s="96">
        <f>'Продажа квартир'!$C43*(1+E25)*E26</f>
        <v>0</v>
      </c>
      <c r="F27" s="96">
        <f>'Продажа квартир'!$C43*(1+F25)*F26</f>
        <v>0</v>
      </c>
      <c r="G27" s="123">
        <f>'Продажа квартир'!$C43*(1+G25)*G26</f>
        <v>0</v>
      </c>
      <c r="H27" s="120">
        <f>'Продажа квартир'!$C43*(1+H25)*H26</f>
        <v>3641.53958459061</v>
      </c>
      <c r="I27" s="96">
        <f>'Продажа квартир'!$C43*(1+I25)*I26</f>
        <v>3966.9231675114584</v>
      </c>
      <c r="J27" s="96">
        <f>'Продажа квартир'!$C43*(1+J25)*J26</f>
        <v>4260.126706726261</v>
      </c>
      <c r="K27" s="126">
        <f>'Продажа квартир'!$C43*(1+K25)*K26</f>
        <v>4464.127767596028</v>
      </c>
      <c r="L27" s="122">
        <f>'Продажа квартир'!$C43*(1+L25)*L26</f>
        <v>4612.7809221551415</v>
      </c>
      <c r="M27" s="96">
        <f>'Продажа квартир'!$C43*(1+M25)*M26</f>
        <v>4822.459257817912</v>
      </c>
      <c r="N27" s="96">
        <f>'Продажа квартир'!$C43*(1+N25)*N26</f>
        <v>5040.987046215885</v>
      </c>
      <c r="O27" s="123">
        <f>'Продажа квартир'!$C43*(1+O25)*O26</f>
        <v>5987.183123599384</v>
      </c>
      <c r="P27" s="127">
        <f>(D27+E27+F27+G27+H27+I27+J27+K27+L27+M27+N27+O27)/(12-COUNTIF(D27:O27,0))</f>
        <v>4599.515947026584</v>
      </c>
      <c r="Q27" s="97"/>
      <c r="R27" s="97"/>
      <c r="S27" s="97"/>
      <c r="T27" s="97"/>
    </row>
    <row r="28" spans="1:20" ht="12.75" customHeight="1" thickBot="1">
      <c r="A28" s="594">
        <f t="shared" si="0"/>
        <v>21</v>
      </c>
      <c r="B28" s="399" t="s">
        <v>70</v>
      </c>
      <c r="C28" s="369" t="s">
        <v>139</v>
      </c>
      <c r="D28" s="400">
        <f>D24*D27</f>
        <v>0</v>
      </c>
      <c r="E28" s="401">
        <f aca="true" t="shared" si="6" ref="E28:O28">E24*E27</f>
        <v>0</v>
      </c>
      <c r="F28" s="401">
        <f t="shared" si="6"/>
        <v>0</v>
      </c>
      <c r="G28" s="402">
        <f t="shared" si="6"/>
        <v>0</v>
      </c>
      <c r="H28" s="403">
        <f t="shared" si="6"/>
        <v>20483660.16332218</v>
      </c>
      <c r="I28" s="401">
        <f t="shared" si="6"/>
        <v>22313942.817251954</v>
      </c>
      <c r="J28" s="401">
        <f t="shared" si="6"/>
        <v>23963212.725335214</v>
      </c>
      <c r="K28" s="404">
        <f t="shared" si="6"/>
        <v>25110718.69272766</v>
      </c>
      <c r="L28" s="400">
        <f t="shared" si="6"/>
        <v>25946892.687122673</v>
      </c>
      <c r="M28" s="401">
        <f t="shared" si="6"/>
        <v>27126333.32522575</v>
      </c>
      <c r="N28" s="401">
        <f t="shared" si="6"/>
        <v>28355552.134964354</v>
      </c>
      <c r="O28" s="402">
        <f t="shared" si="6"/>
        <v>33677905.07024653</v>
      </c>
      <c r="P28" s="255">
        <f>SUM(D28:O28)</f>
        <v>206978217.61619627</v>
      </c>
      <c r="Q28" s="42"/>
      <c r="R28" s="42"/>
      <c r="S28" s="42"/>
      <c r="T28" s="42"/>
    </row>
    <row r="29" spans="1:20" ht="11.25">
      <c r="A29" s="416">
        <f t="shared" si="0"/>
        <v>22</v>
      </c>
      <c r="B29" s="375" t="s">
        <v>149</v>
      </c>
      <c r="C29" s="376" t="s">
        <v>33</v>
      </c>
      <c r="D29" s="405">
        <f>'Таблицы для Отчета'!D51</f>
        <v>0</v>
      </c>
      <c r="E29" s="406">
        <f>'Таблицы для Отчета'!E51</f>
        <v>0</v>
      </c>
      <c r="F29" s="406">
        <f>'Таблицы для Отчета'!F51</f>
        <v>0</v>
      </c>
      <c r="G29" s="407">
        <f>'Таблицы для Отчета'!G51</f>
        <v>0</v>
      </c>
      <c r="H29" s="408">
        <f>'Таблицы для Отчета'!H51</f>
        <v>0.125</v>
      </c>
      <c r="I29" s="406">
        <f>'Таблицы для Отчета'!I51</f>
        <v>0.125</v>
      </c>
      <c r="J29" s="406">
        <f>'Таблицы для Отчета'!J51</f>
        <v>0.125</v>
      </c>
      <c r="K29" s="409">
        <f>'Таблицы для Отчета'!K51</f>
        <v>0.125</v>
      </c>
      <c r="L29" s="405">
        <f>'Таблицы для Отчета'!L51</f>
        <v>0.125</v>
      </c>
      <c r="M29" s="406">
        <f>'Таблицы для Отчета'!M51</f>
        <v>0.125</v>
      </c>
      <c r="N29" s="406">
        <f>'Таблицы для Отчета'!N51</f>
        <v>0.125</v>
      </c>
      <c r="O29" s="407">
        <f>'Таблицы для Отчета'!O51</f>
        <v>0.125</v>
      </c>
      <c r="P29" s="410">
        <f>SUM(D29:O29)</f>
        <v>1</v>
      </c>
      <c r="Q29" s="42"/>
      <c r="R29" s="42"/>
      <c r="S29" s="42"/>
      <c r="T29" s="42"/>
    </row>
    <row r="30" spans="1:20" ht="11.25">
      <c r="A30" s="417">
        <f t="shared" si="0"/>
        <v>23</v>
      </c>
      <c r="B30" s="129" t="s">
        <v>150</v>
      </c>
      <c r="C30" s="242" t="s">
        <v>67</v>
      </c>
      <c r="D30" s="110">
        <f>'Исходные данные'!$E12*D29</f>
        <v>0</v>
      </c>
      <c r="E30" s="45">
        <f>'Исходные данные'!$E12*E29</f>
        <v>0</v>
      </c>
      <c r="F30" s="45">
        <f>'Исходные данные'!$E12*F29</f>
        <v>0</v>
      </c>
      <c r="G30" s="102">
        <f>'Исходные данные'!$E12*G29</f>
        <v>0</v>
      </c>
      <c r="H30" s="106">
        <f>H29*'Исходные данные'!$E12</f>
        <v>2500</v>
      </c>
      <c r="I30" s="45">
        <f>I29*'Исходные данные'!$E12</f>
        <v>2500</v>
      </c>
      <c r="J30" s="45">
        <f>J29*'Исходные данные'!$E12</f>
        <v>2500</v>
      </c>
      <c r="K30" s="125">
        <f>K29*'Исходные данные'!$E12</f>
        <v>2500</v>
      </c>
      <c r="L30" s="110">
        <f>L29*'Исходные данные'!$E12</f>
        <v>2500</v>
      </c>
      <c r="M30" s="45">
        <f>M29*'Исходные данные'!$E12</f>
        <v>2500</v>
      </c>
      <c r="N30" s="45">
        <f>N29*'Исходные данные'!$E12</f>
        <v>2500</v>
      </c>
      <c r="O30" s="102">
        <f>O29*'Исходные данные'!$E12</f>
        <v>2500</v>
      </c>
      <c r="P30" s="117">
        <f>IF(SUM(D30:O30)='Исходные данные'!E12,SUM(D30:O30),"Проверьте площадь нежилья")</f>
        <v>20000</v>
      </c>
      <c r="Q30" s="42"/>
      <c r="R30" s="42"/>
      <c r="S30" s="42"/>
      <c r="T30" s="42"/>
    </row>
    <row r="31" spans="1:20" ht="22.5">
      <c r="A31" s="417">
        <f t="shared" si="0"/>
        <v>24</v>
      </c>
      <c r="B31" s="129" t="s">
        <v>151</v>
      </c>
      <c r="C31" s="242" t="s">
        <v>33</v>
      </c>
      <c r="D31" s="108">
        <f>'Таблицы для Отчета'!D25</f>
        <v>0.010889090432320558</v>
      </c>
      <c r="E31" s="46">
        <f>'Таблицы для Отчета'!E25</f>
        <v>0.03290441587784798</v>
      </c>
      <c r="F31" s="46">
        <f>'Таблицы для Отчета'!F25</f>
        <v>0.05539919506272217</v>
      </c>
      <c r="G31" s="109">
        <f>'Таблицы для Отчета'!G25</f>
        <v>0.07838386961719479</v>
      </c>
      <c r="H31" s="105">
        <f>'Таблицы для Отчета'!H25</f>
        <v>0.09933314444543861</v>
      </c>
      <c r="I31" s="46">
        <f>'Таблицы для Отчета'!I25</f>
        <v>0.12068939134382783</v>
      </c>
      <c r="J31" s="46">
        <f>'Таблицы для Отчета'!J25</f>
        <v>0.1424605163743733</v>
      </c>
      <c r="K31" s="124">
        <f>'Таблицы для Отчета'!K25</f>
        <v>0.16465457918657034</v>
      </c>
      <c r="L31" s="108">
        <f>'Таблицы для Отчета'!L25</f>
        <v>0.18452186844409857</v>
      </c>
      <c r="M31" s="46">
        <f>'Таблицы для Отчета'!M25</f>
        <v>0.20472806435214452</v>
      </c>
      <c r="N31" s="46">
        <f>'Таблицы для Отчета'!N25</f>
        <v>0.2252789481582793</v>
      </c>
      <c r="O31" s="109">
        <f>'Таблицы для Отчета'!O25</f>
        <v>0.24618039972963057</v>
      </c>
      <c r="P31" s="115">
        <f>AVERAGE(D31:O31)</f>
        <v>0.13045195691870404</v>
      </c>
      <c r="Q31" s="42"/>
      <c r="R31" s="42"/>
      <c r="S31" s="42"/>
      <c r="T31" s="42"/>
    </row>
    <row r="32" spans="1:20" ht="22.5">
      <c r="A32" s="417">
        <f t="shared" si="0"/>
        <v>25</v>
      </c>
      <c r="B32" s="129" t="s">
        <v>393</v>
      </c>
      <c r="C32" s="242"/>
      <c r="D32" s="251">
        <f>'Динамические данные'!C31</f>
        <v>0</v>
      </c>
      <c r="E32" s="51">
        <f>'Динамические данные'!D31</f>
        <v>0</v>
      </c>
      <c r="F32" s="51">
        <f>'Динамические данные'!E31</f>
        <v>0</v>
      </c>
      <c r="G32" s="119">
        <f>'Динамические данные'!F31</f>
        <v>0</v>
      </c>
      <c r="H32" s="251">
        <f>'Динамические данные'!G31</f>
        <v>0.77</v>
      </c>
      <c r="I32" s="51">
        <f>'Динамические данные'!H31</f>
        <v>0.81</v>
      </c>
      <c r="J32" s="51">
        <f>'Динамические данные'!I31</f>
        <v>0.84</v>
      </c>
      <c r="K32" s="119">
        <f>'Динамические данные'!J31</f>
        <v>0.85</v>
      </c>
      <c r="L32" s="251">
        <f>'Динамические данные'!K31</f>
        <v>0.85</v>
      </c>
      <c r="M32" s="51">
        <f>'Динамические данные'!L31</f>
        <v>0.86</v>
      </c>
      <c r="N32" s="51">
        <f>'Динамические данные'!M31</f>
        <v>0.87</v>
      </c>
      <c r="O32" s="121">
        <f>'Динамические данные'!N31</f>
        <v>1</v>
      </c>
      <c r="P32" s="118"/>
      <c r="Q32" s="42"/>
      <c r="R32" s="42"/>
      <c r="S32" s="42"/>
      <c r="T32" s="42"/>
    </row>
    <row r="33" spans="1:20" s="98" customFormat="1" ht="33" customHeight="1">
      <c r="A33" s="418">
        <f t="shared" si="0"/>
        <v>26</v>
      </c>
      <c r="B33" s="130" t="s">
        <v>394</v>
      </c>
      <c r="C33" s="242" t="s">
        <v>262</v>
      </c>
      <c r="D33" s="122">
        <f>'Продажа нежилых помещ'!$C42*(1+Расчет!D31)*D32</f>
        <v>0</v>
      </c>
      <c r="E33" s="96">
        <f>'Продажа нежилых помещ'!$C42*(1+Расчет!E31)*E32</f>
        <v>0</v>
      </c>
      <c r="F33" s="96">
        <f>'Продажа нежилых помещ'!$C42*(1+Расчет!F31)*F32</f>
        <v>0</v>
      </c>
      <c r="G33" s="123">
        <f>'Продажа нежилых помещ'!$C42*(1+Расчет!G31)*G32</f>
        <v>0</v>
      </c>
      <c r="H33" s="120">
        <f>'Продажа нежилых помещ'!$C42*(1+Расчет!H31)*H32</f>
        <v>2547.9244288811933</v>
      </c>
      <c r="I33" s="96">
        <f>'Продажа нежилых помещ'!$C42*(1+Расчет!I31)*I32</f>
        <v>2732.352805035387</v>
      </c>
      <c r="J33" s="96">
        <f>'Продажа нежилых помещ'!$C42*(1+Расчет!J31)*J32</f>
        <v>2888.597169600965</v>
      </c>
      <c r="K33" s="126">
        <f>'Продажа нежилых помещ'!$C42*(1+Расчет!K31)*K32</f>
        <v>2979.76874084884</v>
      </c>
      <c r="L33" s="122">
        <f>'Продажа нежилых помещ'!$C42*(1+Расчет!L31)*L32</f>
        <v>3030.599200414226</v>
      </c>
      <c r="M33" s="96">
        <f>'Продажа нежилых помещ'!$C42*(1+Расчет!M31)*M32</f>
        <v>3118.5590673819615</v>
      </c>
      <c r="N33" s="96">
        <f>'Продажа нежилых помещ'!$C42*(1+Расчет!N31)*N32</f>
        <v>3208.637981542086</v>
      </c>
      <c r="O33" s="123">
        <f>'Продажа нежилых помещ'!$C42*(1+Расчет!O31)*O32</f>
        <v>3751.003003186188</v>
      </c>
      <c r="P33" s="127">
        <f>(D33+E33+F33+G33+H33+I33+J33+K33+L33+M33+N33+O33)/(12-COUNTIF(D33:O33,0))</f>
        <v>3032.1802996113565</v>
      </c>
      <c r="Q33" s="97"/>
      <c r="R33" s="97"/>
      <c r="S33" s="97"/>
      <c r="T33" s="97"/>
    </row>
    <row r="34" spans="1:20" ht="22.5" thickBot="1">
      <c r="A34" s="595">
        <f t="shared" si="0"/>
        <v>27</v>
      </c>
      <c r="B34" s="399" t="s">
        <v>60</v>
      </c>
      <c r="C34" s="369" t="s">
        <v>139</v>
      </c>
      <c r="D34" s="400">
        <f>D33*D30</f>
        <v>0</v>
      </c>
      <c r="E34" s="401">
        <f aca="true" t="shared" si="7" ref="E34:O34">E33*E30</f>
        <v>0</v>
      </c>
      <c r="F34" s="401">
        <f t="shared" si="7"/>
        <v>0</v>
      </c>
      <c r="G34" s="402">
        <f t="shared" si="7"/>
        <v>0</v>
      </c>
      <c r="H34" s="403">
        <f t="shared" si="7"/>
        <v>6369811.072202983</v>
      </c>
      <c r="I34" s="401">
        <f t="shared" si="7"/>
        <v>6830882.012588467</v>
      </c>
      <c r="J34" s="401">
        <f t="shared" si="7"/>
        <v>7221492.924002413</v>
      </c>
      <c r="K34" s="404">
        <f t="shared" si="7"/>
        <v>7449421.8521221</v>
      </c>
      <c r="L34" s="400">
        <f t="shared" si="7"/>
        <v>7576498.001035565</v>
      </c>
      <c r="M34" s="401">
        <f t="shared" si="7"/>
        <v>7796397.668454904</v>
      </c>
      <c r="N34" s="401">
        <f t="shared" si="7"/>
        <v>8021594.953855215</v>
      </c>
      <c r="O34" s="402">
        <f t="shared" si="7"/>
        <v>9377507.50796547</v>
      </c>
      <c r="P34" s="255">
        <f>SUM(D34:O34)</f>
        <v>60643605.992227115</v>
      </c>
      <c r="Q34" s="42"/>
      <c r="R34" s="42"/>
      <c r="S34" s="42"/>
      <c r="T34" s="42"/>
    </row>
    <row r="35" spans="1:20" ht="11.25">
      <c r="A35" s="593">
        <f t="shared" si="0"/>
        <v>28</v>
      </c>
      <c r="B35" s="375" t="s">
        <v>152</v>
      </c>
      <c r="C35" s="376" t="s">
        <v>33</v>
      </c>
      <c r="D35" s="405">
        <f>'Таблицы для Отчета'!D57</f>
        <v>0</v>
      </c>
      <c r="E35" s="406">
        <f>'Таблицы для Отчета'!E57</f>
        <v>0</v>
      </c>
      <c r="F35" s="406">
        <f>'Таблицы для Отчета'!F57</f>
        <v>0</v>
      </c>
      <c r="G35" s="407">
        <f>'Таблицы для Отчета'!G57</f>
        <v>0</v>
      </c>
      <c r="H35" s="408">
        <f>'Таблицы для Отчета'!H57</f>
        <v>0</v>
      </c>
      <c r="I35" s="406">
        <f>'Таблицы для Отчета'!I57</f>
        <v>0</v>
      </c>
      <c r="J35" s="406">
        <f>'Таблицы для Отчета'!J57</f>
        <v>0</v>
      </c>
      <c r="K35" s="409">
        <f>'Таблицы для Отчета'!K57</f>
        <v>0</v>
      </c>
      <c r="L35" s="405">
        <f>'Таблицы для Отчета'!L57</f>
        <v>0.25</v>
      </c>
      <c r="M35" s="406">
        <f>'Таблицы для Отчета'!M57</f>
        <v>0.25</v>
      </c>
      <c r="N35" s="406">
        <f>'Таблицы для Отчета'!N57</f>
        <v>0.25</v>
      </c>
      <c r="O35" s="407">
        <f>'Таблицы для Отчета'!O57</f>
        <v>0.25</v>
      </c>
      <c r="P35" s="410">
        <f>SUM(D35:O35)</f>
        <v>1</v>
      </c>
      <c r="Q35" s="42"/>
      <c r="R35" s="42"/>
      <c r="S35" s="42"/>
      <c r="T35" s="42"/>
    </row>
    <row r="36" spans="1:20" ht="11.25">
      <c r="A36" s="417">
        <f t="shared" si="0"/>
        <v>29</v>
      </c>
      <c r="B36" s="129" t="s">
        <v>153</v>
      </c>
      <c r="C36" s="242" t="s">
        <v>46</v>
      </c>
      <c r="D36" s="110">
        <f>D35*'Исходные данные'!$E14</f>
        <v>0</v>
      </c>
      <c r="E36" s="45">
        <f>E35*'Исходные данные'!$E14</f>
        <v>0</v>
      </c>
      <c r="F36" s="45">
        <f>F35*'Исходные данные'!$E14</f>
        <v>0</v>
      </c>
      <c r="G36" s="102">
        <f>G35*'Исходные данные'!$E14</f>
        <v>0</v>
      </c>
      <c r="H36" s="106">
        <f>ROUND(H35*'Исходные данные'!$E14,0)</f>
        <v>0</v>
      </c>
      <c r="I36" s="45">
        <f>ROUND(I35*'Исходные данные'!$E14,0)</f>
        <v>0</v>
      </c>
      <c r="J36" s="45">
        <f>ROUND(J35*'Исходные данные'!$E14,0)</f>
        <v>0</v>
      </c>
      <c r="K36" s="125">
        <f>ROUND(K35*'Исходные данные'!$E14,0)</f>
        <v>0</v>
      </c>
      <c r="L36" s="110">
        <f>ROUND(L35*'Исходные данные'!$E14,0)</f>
        <v>143</v>
      </c>
      <c r="M36" s="45">
        <f>ROUND(M35*'Исходные данные'!$E14,0)</f>
        <v>143</v>
      </c>
      <c r="N36" s="45">
        <f>ROUND(N35*'Исходные данные'!$E14,0)</f>
        <v>143</v>
      </c>
      <c r="O36" s="102">
        <f>'Исходные данные'!E14-SUM(Расчет!H36:N36)</f>
        <v>142</v>
      </c>
      <c r="P36" s="128">
        <f>SUM(D36:O36)</f>
        <v>571</v>
      </c>
      <c r="Q36" s="42"/>
      <c r="R36" s="42"/>
      <c r="S36" s="42"/>
      <c r="T36" s="42"/>
    </row>
    <row r="37" spans="1:20" ht="22.5">
      <c r="A37" s="417">
        <f t="shared" si="0"/>
        <v>30</v>
      </c>
      <c r="B37" s="129" t="s">
        <v>154</v>
      </c>
      <c r="C37" s="242" t="s">
        <v>33</v>
      </c>
      <c r="D37" s="108">
        <f>'Таблицы для Отчета'!D34</f>
        <v>0.010889090432320558</v>
      </c>
      <c r="E37" s="46">
        <f>'Таблицы для Отчета'!E34</f>
        <v>0.03290441587784798</v>
      </c>
      <c r="F37" s="46">
        <f>'Таблицы для Отчета'!F34</f>
        <v>0.05539919506272217</v>
      </c>
      <c r="G37" s="109">
        <f>'Таблицы для Отчета'!G34</f>
        <v>0.07838386961719479</v>
      </c>
      <c r="H37" s="105">
        <f>'Таблицы для Отчета'!H34</f>
        <v>0.09933314444543861</v>
      </c>
      <c r="I37" s="46">
        <f>'Таблицы для Отчета'!I34</f>
        <v>0.12068939134382783</v>
      </c>
      <c r="J37" s="46">
        <f>'Таблицы для Отчета'!J34</f>
        <v>0.1424605163743733</v>
      </c>
      <c r="K37" s="124">
        <f>'Таблицы для Отчета'!K34</f>
        <v>0.16465457918657034</v>
      </c>
      <c r="L37" s="108">
        <f>'Таблицы для Отчета'!L34</f>
        <v>0.18452186844409857</v>
      </c>
      <c r="M37" s="46">
        <f>'Таблицы для Отчета'!M34</f>
        <v>0.20472806435214452</v>
      </c>
      <c r="N37" s="46">
        <f>'Таблицы для Отчета'!N34</f>
        <v>0.2252789481582793</v>
      </c>
      <c r="O37" s="109">
        <f>'Таблицы для Отчета'!O34</f>
        <v>0.24618039972963057</v>
      </c>
      <c r="P37" s="115" t="s">
        <v>36</v>
      </c>
      <c r="Q37" s="42"/>
      <c r="R37" s="42"/>
      <c r="S37" s="42"/>
      <c r="T37" s="42"/>
    </row>
    <row r="38" spans="1:20" ht="22.5">
      <c r="A38" s="417">
        <f t="shared" si="0"/>
        <v>31</v>
      </c>
      <c r="B38" s="129" t="s">
        <v>450</v>
      </c>
      <c r="C38" s="242"/>
      <c r="D38" s="251">
        <f>'Динамические данные'!C32</f>
        <v>0</v>
      </c>
      <c r="E38" s="51">
        <f>'Динамические данные'!D32</f>
        <v>0</v>
      </c>
      <c r="F38" s="51">
        <f>'Динамические данные'!E32</f>
        <v>0</v>
      </c>
      <c r="G38" s="119">
        <f>'Динамические данные'!F32</f>
        <v>0</v>
      </c>
      <c r="H38" s="251">
        <f>'Динамические данные'!G32</f>
        <v>0.77</v>
      </c>
      <c r="I38" s="51">
        <f>'Динамические данные'!H32</f>
        <v>0.81</v>
      </c>
      <c r="J38" s="51">
        <f>'Динамические данные'!I32</f>
        <v>0.84</v>
      </c>
      <c r="K38" s="119">
        <f>'Динамические данные'!J32</f>
        <v>0.85</v>
      </c>
      <c r="L38" s="251">
        <f>'Динамические данные'!K32</f>
        <v>0.85</v>
      </c>
      <c r="M38" s="51">
        <f>'Динамические данные'!L32</f>
        <v>0.86</v>
      </c>
      <c r="N38" s="51">
        <f>'Динамические данные'!M32</f>
        <v>0.87</v>
      </c>
      <c r="O38" s="121">
        <f>'Динамические данные'!N32</f>
        <v>1</v>
      </c>
      <c r="P38" s="118" t="s">
        <v>36</v>
      </c>
      <c r="Q38" s="42"/>
      <c r="R38" s="42"/>
      <c r="S38" s="42"/>
      <c r="T38" s="42"/>
    </row>
    <row r="39" spans="1:20" ht="33.75">
      <c r="A39" s="417">
        <f t="shared" si="0"/>
        <v>32</v>
      </c>
      <c r="B39" s="129" t="s">
        <v>395</v>
      </c>
      <c r="C39" s="242" t="s">
        <v>376</v>
      </c>
      <c r="D39" s="122">
        <f>'Продажа паркингов'!$C37*(1+Расчет!D37)*Расчет!D38</f>
        <v>0</v>
      </c>
      <c r="E39" s="96">
        <f>'Продажа паркингов'!$C37*(1+Расчет!E37)*Расчет!E38</f>
        <v>0</v>
      </c>
      <c r="F39" s="96">
        <f>'Продажа паркингов'!$C37*(1+Расчет!F37)*Расчет!F38</f>
        <v>0</v>
      </c>
      <c r="G39" s="123">
        <f>'Продажа паркингов'!$C37*(1+Расчет!G37)*Расчет!G38</f>
        <v>0</v>
      </c>
      <c r="H39" s="120">
        <f>'Продажа паркингов'!$C38*(1+Расчет!H37)*Расчет!H38</f>
        <v>25733.190245178826</v>
      </c>
      <c r="I39" s="120">
        <f>'Продажа паркингов'!$C38*(1+Расчет!I37)*Расчет!I38</f>
        <v>27595.85557245042</v>
      </c>
      <c r="J39" s="120">
        <f>'Продажа паркингов'!$C38*(1+Расчет!J37)*Расчет!J38</f>
        <v>29173.871746135992</v>
      </c>
      <c r="K39" s="123">
        <f>'Продажа паркингов'!$C38*(1+Расчет!K37)*Расчет!K38</f>
        <v>30094.674326180975</v>
      </c>
      <c r="L39" s="120">
        <f>'Продажа паркингов'!$C38*(1+Расчет!L37)*Расчет!L38</f>
        <v>30608.045080595504</v>
      </c>
      <c r="M39" s="120">
        <f>'Продажа паркингов'!$C38*(1+Расчет!M37)*Расчет!M38</f>
        <v>31496.410514422463</v>
      </c>
      <c r="N39" s="120">
        <f>'Продажа паркингов'!$C38*(1+Расчет!N37)*Расчет!N38</f>
        <v>32406.17762089017</v>
      </c>
      <c r="O39" s="123">
        <f>'Продажа паркингов'!$C38*(1+Расчет!O37)*Расчет!O38</f>
        <v>37883.88415178077</v>
      </c>
      <c r="P39" s="48" t="s">
        <v>36</v>
      </c>
      <c r="Q39" s="42"/>
      <c r="R39" s="42"/>
      <c r="S39" s="42"/>
      <c r="T39" s="42"/>
    </row>
    <row r="40" spans="1:20" ht="24.75" customHeight="1">
      <c r="A40" s="417">
        <f t="shared" si="0"/>
        <v>33</v>
      </c>
      <c r="B40" s="591" t="s">
        <v>449</v>
      </c>
      <c r="C40" s="242" t="s">
        <v>262</v>
      </c>
      <c r="D40" s="592">
        <f>D39/'Исходные данные'!$E15</f>
        <v>0</v>
      </c>
      <c r="E40" s="96">
        <f>E39/'Исходные данные'!$E15</f>
        <v>0</v>
      </c>
      <c r="F40" s="96">
        <f>F39/'Исходные данные'!$E15</f>
        <v>0</v>
      </c>
      <c r="G40" s="120">
        <f>G39/'Исходные данные'!$E15</f>
        <v>0</v>
      </c>
      <c r="H40" s="592">
        <f>H39/'Исходные данные'!$E15</f>
        <v>1169.6904656899467</v>
      </c>
      <c r="I40" s="96">
        <f>I39/'Исходные данные'!$E15</f>
        <v>1254.357071475019</v>
      </c>
      <c r="J40" s="96">
        <f>J39/'Исходные данные'!$E15</f>
        <v>1326.0850793698178</v>
      </c>
      <c r="K40" s="120">
        <f>K39/'Исходные данные'!$E15</f>
        <v>1367.9397420991352</v>
      </c>
      <c r="L40" s="592">
        <f>L39/'Исходные данные'!$E15</f>
        <v>1391.2747763907048</v>
      </c>
      <c r="M40" s="96">
        <f>M39/'Исходные данные'!$E15</f>
        <v>1431.6550233828393</v>
      </c>
      <c r="N40" s="96">
        <f>N39/'Исходные данные'!$E15</f>
        <v>1473.008073676826</v>
      </c>
      <c r="O40" s="123">
        <f>O39/'Исходные данные'!$E15</f>
        <v>1721.994734171853</v>
      </c>
      <c r="P40" s="127">
        <f>(D40+E40+F40+G40+H40+I40+J40+K40+L40+M40+N40+O40)/(12-COUNTIF(D40:O40,0))</f>
        <v>1392.0006207820177</v>
      </c>
      <c r="Q40" s="42"/>
      <c r="R40" s="42"/>
      <c r="S40" s="42"/>
      <c r="T40" s="42"/>
    </row>
    <row r="41" spans="1:20" ht="12" thickBot="1">
      <c r="A41" s="594">
        <f t="shared" si="0"/>
        <v>34</v>
      </c>
      <c r="B41" s="399" t="s">
        <v>396</v>
      </c>
      <c r="C41" s="369" t="s">
        <v>139</v>
      </c>
      <c r="D41" s="400">
        <f>D36*D39</f>
        <v>0</v>
      </c>
      <c r="E41" s="401">
        <f aca="true" t="shared" si="8" ref="E41:O41">E36*E39</f>
        <v>0</v>
      </c>
      <c r="F41" s="401">
        <f t="shared" si="8"/>
        <v>0</v>
      </c>
      <c r="G41" s="402">
        <f t="shared" si="8"/>
        <v>0</v>
      </c>
      <c r="H41" s="403">
        <f t="shared" si="8"/>
        <v>0</v>
      </c>
      <c r="I41" s="401">
        <f t="shared" si="8"/>
        <v>0</v>
      </c>
      <c r="J41" s="401">
        <f t="shared" si="8"/>
        <v>0</v>
      </c>
      <c r="K41" s="404">
        <f t="shared" si="8"/>
        <v>0</v>
      </c>
      <c r="L41" s="400">
        <f t="shared" si="8"/>
        <v>4376950.446525157</v>
      </c>
      <c r="M41" s="401">
        <f t="shared" si="8"/>
        <v>4503986.703562412</v>
      </c>
      <c r="N41" s="401">
        <f t="shared" si="8"/>
        <v>4634083.399787294</v>
      </c>
      <c r="O41" s="402">
        <f t="shared" si="8"/>
        <v>5379511.549552869</v>
      </c>
      <c r="P41" s="255">
        <f>SUM(D41:O41)</f>
        <v>18894532.09942773</v>
      </c>
      <c r="Q41" s="42"/>
      <c r="R41" s="42"/>
      <c r="S41" s="42"/>
      <c r="T41" s="42"/>
    </row>
    <row r="42" spans="1:20" ht="11.25">
      <c r="A42" s="416">
        <f t="shared" si="0"/>
        <v>35</v>
      </c>
      <c r="B42" s="411" t="s">
        <v>143</v>
      </c>
      <c r="C42" s="498" t="s">
        <v>139</v>
      </c>
      <c r="D42" s="413">
        <f aca="true" t="shared" si="9" ref="D42:O42">D28+D34+D41</f>
        <v>0</v>
      </c>
      <c r="E42" s="412">
        <f t="shared" si="9"/>
        <v>0</v>
      </c>
      <c r="F42" s="412">
        <f t="shared" si="9"/>
        <v>0</v>
      </c>
      <c r="G42" s="500">
        <f t="shared" si="9"/>
        <v>0</v>
      </c>
      <c r="H42" s="413">
        <f t="shared" si="9"/>
        <v>26853471.235525165</v>
      </c>
      <c r="I42" s="412">
        <f t="shared" si="9"/>
        <v>29144824.82984042</v>
      </c>
      <c r="J42" s="412">
        <f t="shared" si="9"/>
        <v>31184705.649337627</v>
      </c>
      <c r="K42" s="500">
        <f t="shared" si="9"/>
        <v>32560140.54484976</v>
      </c>
      <c r="L42" s="413">
        <f t="shared" si="9"/>
        <v>37900341.13468339</v>
      </c>
      <c r="M42" s="412">
        <f t="shared" si="9"/>
        <v>39426717.697243065</v>
      </c>
      <c r="N42" s="412">
        <f t="shared" si="9"/>
        <v>41011230.48860686</v>
      </c>
      <c r="O42" s="500">
        <f t="shared" si="9"/>
        <v>48434924.127764866</v>
      </c>
      <c r="P42" s="501">
        <f>SUM(D42:O42)</f>
        <v>286516355.7078512</v>
      </c>
      <c r="Q42" s="42"/>
      <c r="R42" s="42"/>
      <c r="S42" s="42"/>
      <c r="T42" s="42"/>
    </row>
    <row r="43" spans="1:19" ht="11.25">
      <c r="A43" s="417">
        <f t="shared" si="0"/>
        <v>36</v>
      </c>
      <c r="B43" s="54" t="s">
        <v>377</v>
      </c>
      <c r="C43" s="244" t="s">
        <v>139</v>
      </c>
      <c r="D43" s="497">
        <f>D18+D42</f>
        <v>-5603689.241127823</v>
      </c>
      <c r="E43" s="47">
        <f aca="true" t="shared" si="10" ref="E43:O43">E18+E42</f>
        <v>-5811761.592717776</v>
      </c>
      <c r="F43" s="47">
        <f t="shared" si="10"/>
        <v>-6027576.169902611</v>
      </c>
      <c r="G43" s="48">
        <f t="shared" si="10"/>
        <v>-34074472.09672082</v>
      </c>
      <c r="H43" s="497">
        <f t="shared" si="10"/>
        <v>9888590.766189702</v>
      </c>
      <c r="I43" s="47">
        <f t="shared" si="10"/>
        <v>11543589.33195284</v>
      </c>
      <c r="J43" s="47">
        <f t="shared" si="10"/>
        <v>12934706.652138047</v>
      </c>
      <c r="K43" s="48">
        <f t="shared" si="10"/>
        <v>13660657.400863145</v>
      </c>
      <c r="L43" s="497">
        <f t="shared" si="10"/>
        <v>21944772.876664847</v>
      </c>
      <c r="M43" s="47">
        <f t="shared" si="10"/>
        <v>22931341.752995096</v>
      </c>
      <c r="N43" s="47">
        <f t="shared" si="10"/>
        <v>31863485.084866032</v>
      </c>
      <c r="O43" s="104">
        <f t="shared" si="10"/>
        <v>38800702.33521426</v>
      </c>
      <c r="P43" s="48">
        <f>SUM(D43:O43)</f>
        <v>112050347.10041493</v>
      </c>
      <c r="Q43" s="43"/>
      <c r="R43" s="43"/>
      <c r="S43" s="43"/>
    </row>
    <row r="44" spans="1:19" ht="11.25">
      <c r="A44" s="417">
        <f t="shared" si="0"/>
        <v>37</v>
      </c>
      <c r="B44" s="129" t="s">
        <v>28</v>
      </c>
      <c r="C44" s="244"/>
      <c r="D44" s="254">
        <f>1/(1+((1+'Исходные данные'!$E21)^(1/4)-1))^(1-0.5)</f>
        <v>0.9784905367330925</v>
      </c>
      <c r="E44" s="252">
        <f>D44*1/(1+((1+'Исходные данные'!$E21)^(1/4)-1))</f>
        <v>0.9368496297254062</v>
      </c>
      <c r="F44" s="252">
        <f>E44*1/(1+((1+'Исходные данные'!$E21)^(1/4)-1))</f>
        <v>0.8969808043795539</v>
      </c>
      <c r="G44" s="253">
        <f>F44*1/(1+((1+'Исходные данные'!$E21)^(1/4)-1))</f>
        <v>0.8588086475107163</v>
      </c>
      <c r="H44" s="254">
        <f>G44*1/(1+((1+'Исходные данные'!$E21)^(1/4)-1))</f>
        <v>0.8222609552378932</v>
      </c>
      <c r="I44" s="252">
        <f>H44*1/(1+((1+'Исходные данные'!$E21)^(1/4)-1))</f>
        <v>0.7872685964079047</v>
      </c>
      <c r="J44" s="252">
        <f>I44*1/(1+((1+'Исходные данные'!$E21)^(1/4)-1))</f>
        <v>0.7537653818315582</v>
      </c>
      <c r="K44" s="253">
        <f>J44*1/(1+((1+'Исходные данные'!$E21)^(1/4)-1))</f>
        <v>0.7216879390846358</v>
      </c>
      <c r="L44" s="254">
        <f>K44*1/(1+((1+'Исходные данные'!$E21)^(1/4)-1))</f>
        <v>0.6909755926368852</v>
      </c>
      <c r="M44" s="252">
        <f>L44*1/(1+((1+'Исходные данные'!$E21)^(1/4)-1))</f>
        <v>0.661570249082273</v>
      </c>
      <c r="N44" s="252">
        <f>M44*1/(1+((1+'Исходные данные'!$E21)^(1/4)-1))</f>
        <v>0.6334162872534104</v>
      </c>
      <c r="O44" s="253">
        <f>N44*1/(1+((1+'Исходные данные'!$E21)^(1/4)-1))</f>
        <v>0.6064604530122991</v>
      </c>
      <c r="P44" s="118"/>
      <c r="Q44" s="43"/>
      <c r="R44" s="43"/>
      <c r="S44" s="43"/>
    </row>
    <row r="45" spans="1:19" ht="25.5" customHeight="1">
      <c r="A45" s="417">
        <f t="shared" si="0"/>
        <v>38</v>
      </c>
      <c r="B45" s="54" t="s">
        <v>415</v>
      </c>
      <c r="C45" s="244"/>
      <c r="D45" s="107">
        <f aca="true" t="shared" si="11" ref="D45:O45">D42*D44</f>
        <v>0</v>
      </c>
      <c r="E45" s="47">
        <f t="shared" si="11"/>
        <v>0</v>
      </c>
      <c r="F45" s="47">
        <f t="shared" si="11"/>
        <v>0</v>
      </c>
      <c r="G45" s="104">
        <f t="shared" si="11"/>
        <v>0</v>
      </c>
      <c r="H45" s="107">
        <f t="shared" si="11"/>
        <v>22080560.90957621</v>
      </c>
      <c r="I45" s="47">
        <f t="shared" si="11"/>
        <v>22944805.33634272</v>
      </c>
      <c r="J45" s="47">
        <f t="shared" si="11"/>
        <v>23505951.561077725</v>
      </c>
      <c r="K45" s="104">
        <f t="shared" si="11"/>
        <v>23498260.726118714</v>
      </c>
      <c r="L45" s="107">
        <f t="shared" si="11"/>
        <v>26188210.676677976</v>
      </c>
      <c r="M45" s="47">
        <f t="shared" si="11"/>
        <v>26083543.447461557</v>
      </c>
      <c r="N45" s="47">
        <f t="shared" si="11"/>
        <v>25977181.351787224</v>
      </c>
      <c r="O45" s="104">
        <f t="shared" si="11"/>
        <v>29373866.028140616</v>
      </c>
      <c r="P45" s="48">
        <f>SUM(D45:O45)</f>
        <v>199652380.03718275</v>
      </c>
      <c r="Q45" s="43"/>
      <c r="R45" s="43"/>
      <c r="S45" s="43"/>
    </row>
    <row r="46" spans="1:19" ht="12" customHeight="1" thickBot="1">
      <c r="A46" s="417">
        <f t="shared" si="0"/>
        <v>39</v>
      </c>
      <c r="B46" s="54" t="s">
        <v>155</v>
      </c>
      <c r="C46" s="499" t="s">
        <v>139</v>
      </c>
      <c r="D46" s="107">
        <f aca="true" t="shared" si="12" ref="D46:O46">D43*D44</f>
        <v>-5483156.8932366185</v>
      </c>
      <c r="E46" s="401">
        <f t="shared" si="12"/>
        <v>-5444746.696189986</v>
      </c>
      <c r="F46" s="401">
        <f t="shared" si="12"/>
        <v>-5406620.121338274</v>
      </c>
      <c r="G46" s="402">
        <f t="shared" si="12"/>
        <v>-29263451.29602645</v>
      </c>
      <c r="H46" s="403">
        <f t="shared" si="12"/>
        <v>8131002.089363755</v>
      </c>
      <c r="I46" s="401">
        <f t="shared" si="12"/>
        <v>9087905.370875774</v>
      </c>
      <c r="J46" s="401">
        <f t="shared" si="12"/>
        <v>9749734.098528031</v>
      </c>
      <c r="K46" s="402">
        <f t="shared" si="12"/>
        <v>9858731.6861702</v>
      </c>
      <c r="L46" s="403">
        <f t="shared" si="12"/>
        <v>15163302.443735337</v>
      </c>
      <c r="M46" s="401">
        <f t="shared" si="12"/>
        <v>15170693.475319693</v>
      </c>
      <c r="N46" s="401">
        <f t="shared" si="12"/>
        <v>20182850.42141026</v>
      </c>
      <c r="O46" s="402">
        <f t="shared" si="12"/>
        <v>23531091.51540941</v>
      </c>
      <c r="P46" s="255">
        <f>SUM(D46:O46)</f>
        <v>65277336.09402114</v>
      </c>
      <c r="Q46" s="43"/>
      <c r="R46" s="43"/>
      <c r="S46" s="43"/>
    </row>
    <row r="47" spans="1:21" ht="21.75">
      <c r="A47" s="417">
        <f t="shared" si="0"/>
        <v>40</v>
      </c>
      <c r="B47" s="54" t="s">
        <v>417</v>
      </c>
      <c r="C47" s="243" t="s">
        <v>139</v>
      </c>
      <c r="D47" s="414">
        <f>SUM(D46:O46)</f>
        <v>65277336.09402114</v>
      </c>
      <c r="E47" s="52"/>
      <c r="F47" s="87"/>
      <c r="G47" s="52"/>
      <c r="H47" s="43"/>
      <c r="I47" s="43"/>
      <c r="J47" s="43"/>
      <c r="K47" s="43"/>
      <c r="L47" s="43"/>
      <c r="M47" s="43"/>
      <c r="N47" s="43"/>
      <c r="O47" s="43"/>
      <c r="P47" s="53"/>
      <c r="Q47" s="53"/>
      <c r="R47" s="53"/>
      <c r="S47" s="53"/>
      <c r="T47" s="53"/>
      <c r="U47" s="53"/>
    </row>
    <row r="48" spans="1:5" ht="11.25">
      <c r="A48" s="417">
        <f t="shared" si="0"/>
        <v>41</v>
      </c>
      <c r="B48" s="54" t="s">
        <v>447</v>
      </c>
      <c r="C48" s="244" t="s">
        <v>146</v>
      </c>
      <c r="D48" s="48">
        <f>ROUND(D47*к,-3)</f>
        <v>1667542000</v>
      </c>
      <c r="E48" s="55"/>
    </row>
    <row r="49" spans="1:4" ht="22.5">
      <c r="A49" s="417">
        <f t="shared" si="0"/>
        <v>42</v>
      </c>
      <c r="B49" s="589" t="s">
        <v>465</v>
      </c>
      <c r="C49" s="244" t="s">
        <v>448</v>
      </c>
      <c r="D49" s="590">
        <f>ROUND(D47/'Исходные данные'!E5,3)/1000000</f>
        <v>32.638668046999996</v>
      </c>
    </row>
    <row r="50" spans="1:4" ht="22.5">
      <c r="A50" s="417">
        <f t="shared" si="0"/>
        <v>43</v>
      </c>
      <c r="B50" s="54" t="s">
        <v>378</v>
      </c>
      <c r="C50" s="244" t="s">
        <v>262</v>
      </c>
      <c r="D50" s="48">
        <f>D47/'Исходные данные'!E10</f>
        <v>815.9667011752642</v>
      </c>
    </row>
    <row r="51" spans="1:6" ht="23.25" customHeight="1" thickBot="1">
      <c r="A51" s="594">
        <f t="shared" si="0"/>
        <v>44</v>
      </c>
      <c r="B51" s="99" t="s">
        <v>443</v>
      </c>
      <c r="C51" s="245" t="s">
        <v>33</v>
      </c>
      <c r="D51" s="842">
        <f>D47/P45</f>
        <v>0.32695496082673325</v>
      </c>
      <c r="E51" s="56"/>
      <c r="F51" s="57"/>
    </row>
    <row r="52" spans="2:8" ht="11.25">
      <c r="B52" s="58"/>
      <c r="C52" s="58"/>
      <c r="E52" s="59"/>
      <c r="F52" s="59"/>
      <c r="G52" s="60"/>
      <c r="H52" s="60"/>
    </row>
    <row r="53" spans="2:7" ht="11.25">
      <c r="B53" s="58"/>
      <c r="C53" s="58"/>
      <c r="D53" s="59"/>
      <c r="E53" s="59"/>
      <c r="F53" s="52"/>
      <c r="G53" s="52"/>
    </row>
    <row r="54" spans="2:16" ht="11.25">
      <c r="B54" s="94"/>
      <c r="C54" s="94"/>
      <c r="D54" s="495"/>
      <c r="E54" s="495"/>
      <c r="F54" s="495"/>
      <c r="G54" s="495"/>
      <c r="H54" s="495"/>
      <c r="I54" s="495"/>
      <c r="J54" s="495"/>
      <c r="K54" s="495"/>
      <c r="L54" s="495"/>
      <c r="M54" s="495"/>
      <c r="N54" s="495"/>
      <c r="O54" s="495"/>
      <c r="P54" s="94"/>
    </row>
    <row r="55" spans="2:16" ht="11.25">
      <c r="B55" s="94"/>
      <c r="C55" s="94"/>
      <c r="D55" s="496"/>
      <c r="E55" s="496"/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94"/>
    </row>
    <row r="56" spans="2:16" ht="11.25">
      <c r="B56" s="94"/>
      <c r="C56" s="94"/>
      <c r="D56" s="94"/>
      <c r="E56" s="94"/>
      <c r="F56" s="94"/>
      <c r="G56" s="101"/>
      <c r="H56" s="101"/>
      <c r="I56" s="94"/>
      <c r="J56" s="94"/>
      <c r="K56" s="94"/>
      <c r="L56" s="94"/>
      <c r="M56" s="94"/>
      <c r="N56" s="94"/>
      <c r="O56" s="94"/>
      <c r="P56" s="94"/>
    </row>
    <row r="57" spans="2:16" ht="11.25">
      <c r="B57" s="94"/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</row>
    <row r="58" spans="2:16" ht="11.25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</row>
    <row r="59" spans="2:16" ht="11.25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</row>
    <row r="60" spans="2:16" ht="11.25"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</row>
    <row r="61" spans="7:8" ht="11.25">
      <c r="G61" s="52"/>
      <c r="H61" s="52"/>
    </row>
    <row r="62" spans="7:8" ht="11.25">
      <c r="G62" s="52"/>
      <c r="H62" s="52"/>
    </row>
    <row r="63" spans="7:8" ht="11.25">
      <c r="G63" s="52"/>
      <c r="H63" s="52"/>
    </row>
    <row r="64" spans="2:8" ht="11.25">
      <c r="B64" s="61"/>
      <c r="C64" s="61"/>
      <c r="D64" s="52"/>
      <c r="E64" s="52"/>
      <c r="G64" s="52"/>
      <c r="H64" s="52"/>
    </row>
    <row r="65" spans="2:8" ht="11.25">
      <c r="B65" s="61"/>
      <c r="C65" s="61"/>
      <c r="D65" s="52"/>
      <c r="E65" s="52"/>
      <c r="F65" s="52"/>
      <c r="G65" s="52"/>
      <c r="H65" s="62"/>
    </row>
    <row r="66" spans="2:8" ht="11.25">
      <c r="B66" s="58"/>
      <c r="C66" s="58"/>
      <c r="D66" s="52"/>
      <c r="E66" s="52"/>
      <c r="F66" s="52"/>
      <c r="G66" s="52"/>
      <c r="H66" s="52"/>
    </row>
    <row r="67" spans="2:8" ht="11.25">
      <c r="B67" s="61"/>
      <c r="C67" s="61"/>
      <c r="D67" s="62"/>
      <c r="E67" s="62"/>
      <c r="F67" s="52"/>
      <c r="G67" s="52"/>
      <c r="H67" s="52"/>
    </row>
    <row r="68" spans="2:8" ht="11.25">
      <c r="B68" s="43"/>
      <c r="C68" s="43"/>
      <c r="D68" s="52"/>
      <c r="E68" s="52"/>
      <c r="F68" s="62"/>
      <c r="G68" s="62"/>
      <c r="H68" s="62"/>
    </row>
    <row r="69" spans="2:8" ht="11.25">
      <c r="B69" s="63"/>
      <c r="C69" s="63"/>
      <c r="D69" s="64"/>
      <c r="E69" s="43"/>
      <c r="F69" s="52"/>
      <c r="G69" s="52"/>
      <c r="H69" s="52"/>
    </row>
    <row r="70" spans="2:8" ht="11.25">
      <c r="B70" s="43"/>
      <c r="C70" s="43"/>
      <c r="D70" s="52"/>
      <c r="E70" s="43"/>
      <c r="F70" s="43"/>
      <c r="G70" s="43"/>
      <c r="H70" s="43"/>
    </row>
    <row r="71" spans="2:8" ht="11.25">
      <c r="B71" s="43"/>
      <c r="C71" s="43"/>
      <c r="D71" s="52"/>
      <c r="E71" s="43"/>
      <c r="F71" s="43"/>
      <c r="G71" s="43"/>
      <c r="H71" s="43"/>
    </row>
    <row r="72" spans="2:8" ht="11.25">
      <c r="B72" s="65"/>
      <c r="C72" s="65"/>
      <c r="D72" s="43"/>
      <c r="E72" s="43"/>
      <c r="F72" s="43"/>
      <c r="G72" s="43"/>
      <c r="H72" s="43"/>
    </row>
    <row r="73" spans="2:8" ht="11.25">
      <c r="B73" s="66"/>
      <c r="C73" s="66"/>
      <c r="D73" s="66"/>
      <c r="E73" s="66"/>
      <c r="F73" s="43"/>
      <c r="G73" s="43"/>
      <c r="H73" s="43"/>
    </row>
    <row r="74" spans="2:8" ht="11.25">
      <c r="B74" s="67"/>
      <c r="C74" s="67"/>
      <c r="D74" s="60"/>
      <c r="E74" s="60"/>
      <c r="F74" s="66"/>
      <c r="G74" s="66"/>
      <c r="H74" s="66"/>
    </row>
    <row r="75" spans="2:9" ht="11.25">
      <c r="B75" s="43"/>
      <c r="C75" s="43"/>
      <c r="D75" s="68"/>
      <c r="E75" s="68"/>
      <c r="F75" s="60"/>
      <c r="G75" s="60"/>
      <c r="H75" s="60"/>
      <c r="I75" s="69"/>
    </row>
    <row r="76" spans="2:8" ht="11.25">
      <c r="B76" s="58"/>
      <c r="C76" s="58"/>
      <c r="D76" s="52"/>
      <c r="E76" s="52"/>
      <c r="F76" s="68"/>
      <c r="G76" s="68"/>
      <c r="H76" s="68"/>
    </row>
    <row r="77" spans="2:8" ht="11.25">
      <c r="B77" s="58"/>
      <c r="C77" s="58"/>
      <c r="D77" s="60"/>
      <c r="E77" s="60"/>
      <c r="F77" s="52"/>
      <c r="G77" s="52"/>
      <c r="H77" s="52"/>
    </row>
    <row r="78" spans="2:8" ht="11.25">
      <c r="B78" s="58"/>
      <c r="C78" s="58"/>
      <c r="D78" s="52"/>
      <c r="E78" s="52"/>
      <c r="F78" s="60"/>
      <c r="G78" s="60"/>
      <c r="H78" s="60"/>
    </row>
    <row r="79" spans="2:8" ht="11.25">
      <c r="B79" s="58"/>
      <c r="C79" s="58"/>
      <c r="D79" s="52"/>
      <c r="E79" s="52"/>
      <c r="F79" s="52"/>
      <c r="G79" s="52"/>
      <c r="H79" s="52"/>
    </row>
    <row r="80" spans="2:8" ht="11.25">
      <c r="B80" s="58"/>
      <c r="C80" s="58"/>
      <c r="D80" s="52"/>
      <c r="E80" s="52"/>
      <c r="F80" s="52"/>
      <c r="G80" s="52"/>
      <c r="H80" s="52"/>
    </row>
    <row r="81" spans="2:8" ht="11.25">
      <c r="B81" s="58"/>
      <c r="C81" s="58"/>
      <c r="D81" s="60"/>
      <c r="E81" s="60"/>
      <c r="F81" s="52"/>
      <c r="G81" s="52"/>
      <c r="H81" s="52"/>
    </row>
    <row r="82" spans="2:8" ht="11.25">
      <c r="B82" s="58"/>
      <c r="C82" s="58"/>
      <c r="D82" s="52"/>
      <c r="E82" s="52"/>
      <c r="F82" s="60"/>
      <c r="G82" s="60"/>
      <c r="H82" s="60"/>
    </row>
    <row r="83" spans="2:8" ht="11.25">
      <c r="B83" s="58"/>
      <c r="C83" s="58"/>
      <c r="D83" s="52"/>
      <c r="E83" s="52"/>
      <c r="F83" s="52"/>
      <c r="G83" s="52"/>
      <c r="H83" s="52"/>
    </row>
    <row r="84" spans="2:8" ht="11.25">
      <c r="B84" s="58"/>
      <c r="C84" s="58"/>
      <c r="D84" s="52"/>
      <c r="E84" s="52"/>
      <c r="F84" s="52"/>
      <c r="G84" s="52"/>
      <c r="H84" s="52"/>
    </row>
    <row r="85" spans="2:8" ht="11.25">
      <c r="B85" s="58"/>
      <c r="C85" s="58"/>
      <c r="D85" s="52"/>
      <c r="E85" s="43"/>
      <c r="F85" s="52"/>
      <c r="G85" s="52"/>
      <c r="H85" s="52"/>
    </row>
    <row r="86" spans="2:8" ht="11.25">
      <c r="B86" s="58"/>
      <c r="C86" s="58"/>
      <c r="D86" s="52"/>
      <c r="E86" s="52"/>
      <c r="F86" s="43"/>
      <c r="G86" s="43"/>
      <c r="H86" s="43"/>
    </row>
    <row r="87" spans="2:8" ht="11.25">
      <c r="B87" s="70"/>
      <c r="C87" s="70"/>
      <c r="D87" s="60"/>
      <c r="E87" s="52"/>
      <c r="F87" s="52"/>
      <c r="G87" s="52"/>
      <c r="H87" s="52"/>
    </row>
    <row r="88" spans="2:8" ht="11.25">
      <c r="B88" s="58"/>
      <c r="C88" s="58"/>
      <c r="D88" s="52"/>
      <c r="E88" s="52"/>
      <c r="F88" s="52"/>
      <c r="G88" s="52"/>
      <c r="H88" s="52"/>
    </row>
    <row r="89" spans="2:8" ht="11.25">
      <c r="B89" s="71"/>
      <c r="C89" s="71"/>
      <c r="D89" s="52"/>
      <c r="E89" s="52"/>
      <c r="F89" s="52"/>
      <c r="G89" s="52"/>
      <c r="H89" s="52"/>
    </row>
    <row r="90" spans="2:8" ht="11.25">
      <c r="B90" s="61"/>
      <c r="C90" s="61"/>
      <c r="D90" s="52"/>
      <c r="E90" s="52"/>
      <c r="F90" s="52"/>
      <c r="G90" s="52"/>
      <c r="H90" s="52"/>
    </row>
    <row r="91" spans="2:8" ht="11.25">
      <c r="B91" s="43"/>
      <c r="C91" s="43"/>
      <c r="D91" s="52"/>
      <c r="E91" s="52"/>
      <c r="F91" s="52"/>
      <c r="G91" s="52"/>
      <c r="H91" s="52"/>
    </row>
    <row r="92" spans="2:8" ht="11.25">
      <c r="B92" s="61"/>
      <c r="C92" s="61"/>
      <c r="D92" s="52"/>
      <c r="E92" s="52"/>
      <c r="F92" s="52"/>
      <c r="G92" s="52"/>
      <c r="H92" s="62"/>
    </row>
    <row r="93" spans="2:8" ht="11.25">
      <c r="B93" s="58"/>
      <c r="C93" s="58"/>
      <c r="D93" s="52"/>
      <c r="E93" s="52"/>
      <c r="F93" s="52"/>
      <c r="G93" s="52"/>
      <c r="H93" s="52"/>
    </row>
    <row r="94" spans="2:8" ht="11.25">
      <c r="B94" s="61"/>
      <c r="C94" s="61"/>
      <c r="D94" s="62"/>
      <c r="E94" s="62"/>
      <c r="F94" s="52"/>
      <c r="G94" s="52"/>
      <c r="H94" s="52"/>
    </row>
    <row r="95" spans="2:8" ht="11.25">
      <c r="B95" s="43"/>
      <c r="C95" s="43"/>
      <c r="D95" s="52"/>
      <c r="E95" s="52"/>
      <c r="F95" s="62"/>
      <c r="G95" s="62"/>
      <c r="H95" s="62"/>
    </row>
    <row r="96" spans="2:8" ht="11.25">
      <c r="B96" s="63"/>
      <c r="C96" s="63"/>
      <c r="D96" s="64"/>
      <c r="E96" s="43"/>
      <c r="F96" s="52"/>
      <c r="G96" s="52"/>
      <c r="H96" s="52"/>
    </row>
    <row r="97" spans="2:8" ht="11.25">
      <c r="B97" s="43"/>
      <c r="C97" s="43"/>
      <c r="D97" s="52"/>
      <c r="E97" s="43"/>
      <c r="F97" s="43"/>
      <c r="G97" s="43"/>
      <c r="H97" s="43"/>
    </row>
    <row r="98" spans="2:8" ht="11.25">
      <c r="B98" s="43"/>
      <c r="C98" s="43"/>
      <c r="D98" s="52"/>
      <c r="E98" s="43"/>
      <c r="F98" s="43"/>
      <c r="G98" s="43"/>
      <c r="H98" s="43"/>
    </row>
    <row r="99" spans="2:8" ht="11.25">
      <c r="B99" s="43"/>
      <c r="C99" s="43"/>
      <c r="D99" s="43"/>
      <c r="E99" s="43"/>
      <c r="F99" s="43"/>
      <c r="G99" s="43"/>
      <c r="H99" s="43"/>
    </row>
    <row r="100" spans="2:8" ht="11.25">
      <c r="B100" s="72"/>
      <c r="C100" s="72"/>
      <c r="D100" s="43"/>
      <c r="E100" s="43"/>
      <c r="F100" s="43"/>
      <c r="G100" s="43"/>
      <c r="H100" s="43"/>
    </row>
    <row r="101" spans="2:8" ht="11.25">
      <c r="B101" s="42"/>
      <c r="C101" s="42"/>
      <c r="D101" s="42"/>
      <c r="E101" s="66"/>
      <c r="F101" s="43"/>
      <c r="G101" s="43"/>
      <c r="H101" s="43"/>
    </row>
    <row r="102" spans="2:8" ht="11.25">
      <c r="B102" s="43"/>
      <c r="C102" s="43"/>
      <c r="D102" s="73"/>
      <c r="E102" s="52"/>
      <c r="F102" s="66"/>
      <c r="G102" s="43"/>
      <c r="H102" s="43"/>
    </row>
    <row r="103" spans="2:8" ht="11.25">
      <c r="B103" s="43"/>
      <c r="C103" s="43"/>
      <c r="D103" s="73"/>
      <c r="E103" s="52"/>
      <c r="F103" s="52"/>
      <c r="G103" s="52"/>
      <c r="H103" s="43"/>
    </row>
    <row r="104" spans="2:8" ht="11.25">
      <c r="B104" s="43"/>
      <c r="C104" s="43"/>
      <c r="D104" s="73"/>
      <c r="E104" s="52"/>
      <c r="F104" s="52"/>
      <c r="G104" s="52"/>
      <c r="H104" s="43"/>
    </row>
    <row r="105" spans="2:8" ht="11.25">
      <c r="B105" s="74"/>
      <c r="C105" s="74"/>
      <c r="D105" s="43"/>
      <c r="E105" s="75"/>
      <c r="F105" s="52"/>
      <c r="G105" s="52"/>
      <c r="H105" s="43"/>
    </row>
    <row r="106" spans="2:8" ht="11.25">
      <c r="B106" s="74"/>
      <c r="C106" s="74"/>
      <c r="D106" s="43"/>
      <c r="E106" s="75"/>
      <c r="F106" s="75"/>
      <c r="G106" s="76"/>
      <c r="H106" s="76"/>
    </row>
    <row r="107" spans="2:8" ht="11.25">
      <c r="B107" s="43"/>
      <c r="C107" s="43"/>
      <c r="D107" s="43"/>
      <c r="E107" s="43"/>
      <c r="F107" s="75"/>
      <c r="G107" s="43"/>
      <c r="H107" s="43"/>
    </row>
    <row r="108" spans="2:8" ht="11.25">
      <c r="B108" s="77"/>
      <c r="C108" s="77"/>
      <c r="D108" s="78"/>
      <c r="E108" s="79"/>
      <c r="F108" s="43"/>
      <c r="G108" s="43"/>
      <c r="H108" s="43"/>
    </row>
    <row r="109" spans="2:8" ht="11.25">
      <c r="B109" s="80"/>
      <c r="C109" s="80"/>
      <c r="D109" s="80"/>
      <c r="E109" s="80"/>
      <c r="F109" s="79"/>
      <c r="G109" s="43"/>
      <c r="H109" s="43"/>
    </row>
    <row r="110" spans="2:8" ht="11.25">
      <c r="B110" s="81"/>
      <c r="C110" s="81"/>
      <c r="D110" s="82"/>
      <c r="E110" s="82"/>
      <c r="F110" s="80"/>
      <c r="G110" s="43"/>
      <c r="H110" s="43"/>
    </row>
    <row r="111" spans="2:8" ht="11.25">
      <c r="B111" s="83"/>
      <c r="C111" s="83"/>
      <c r="D111" s="82"/>
      <c r="E111" s="82"/>
      <c r="F111" s="82"/>
      <c r="G111" s="43"/>
      <c r="H111" s="43"/>
    </row>
    <row r="112" spans="2:8" ht="11.25">
      <c r="B112" s="83"/>
      <c r="C112" s="83"/>
      <c r="D112" s="82"/>
      <c r="E112" s="82"/>
      <c r="F112" s="82"/>
      <c r="G112" s="43"/>
      <c r="H112" s="43"/>
    </row>
    <row r="113" spans="2:8" ht="11.25">
      <c r="B113" s="83"/>
      <c r="C113" s="83"/>
      <c r="D113" s="82"/>
      <c r="E113" s="82"/>
      <c r="F113" s="82"/>
      <c r="G113" s="43"/>
      <c r="H113" s="43"/>
    </row>
    <row r="114" spans="2:8" ht="11.25">
      <c r="B114" s="83"/>
      <c r="C114" s="83"/>
      <c r="D114" s="82"/>
      <c r="E114" s="82"/>
      <c r="F114" s="82"/>
      <c r="G114" s="43"/>
      <c r="H114" s="43"/>
    </row>
    <row r="115" spans="2:8" ht="11.25">
      <c r="B115" s="83"/>
      <c r="C115" s="83"/>
      <c r="D115" s="84"/>
      <c r="E115" s="84"/>
      <c r="F115" s="82"/>
      <c r="G115" s="43"/>
      <c r="H115" s="43"/>
    </row>
    <row r="116" spans="2:8" ht="11.25">
      <c r="B116" s="43"/>
      <c r="C116" s="43"/>
      <c r="D116" s="43"/>
      <c r="E116" s="43"/>
      <c r="F116" s="84"/>
      <c r="G116" s="43"/>
      <c r="H116" s="43"/>
    </row>
    <row r="117" spans="2:8" ht="11.25">
      <c r="B117" s="43"/>
      <c r="C117" s="43"/>
      <c r="D117" s="43"/>
      <c r="E117" s="43"/>
      <c r="F117" s="43"/>
      <c r="G117" s="43"/>
      <c r="H117" s="43"/>
    </row>
    <row r="118" spans="2:8" ht="11.25">
      <c r="B118" s="43"/>
      <c r="C118" s="43"/>
      <c r="D118" s="43"/>
      <c r="E118" s="43"/>
      <c r="F118" s="43"/>
      <c r="G118" s="43"/>
      <c r="H118" s="43"/>
    </row>
    <row r="119" spans="2:8" ht="11.25">
      <c r="B119" s="42"/>
      <c r="C119" s="42"/>
      <c r="D119" s="42"/>
      <c r="E119" s="42"/>
      <c r="F119" s="43"/>
      <c r="G119" s="43"/>
      <c r="H119" s="43"/>
    </row>
    <row r="120" spans="2:8" ht="11.25">
      <c r="B120" s="42"/>
      <c r="C120" s="42"/>
      <c r="D120" s="43"/>
      <c r="E120" s="43"/>
      <c r="F120" s="43"/>
      <c r="G120" s="43"/>
      <c r="H120" s="43"/>
    </row>
    <row r="121" spans="2:8" ht="11.25">
      <c r="B121" s="79"/>
      <c r="C121" s="79"/>
      <c r="D121" s="53"/>
      <c r="E121" s="52"/>
      <c r="F121" s="43"/>
      <c r="G121" s="43"/>
      <c r="H121" s="43"/>
    </row>
    <row r="122" spans="2:8" ht="11.25">
      <c r="B122" s="43"/>
      <c r="C122" s="43"/>
      <c r="D122" s="52"/>
      <c r="E122" s="52"/>
      <c r="F122" s="43"/>
      <c r="G122" s="43"/>
      <c r="H122" s="43"/>
    </row>
    <row r="123" spans="2:8" ht="11.25">
      <c r="B123" s="43"/>
      <c r="C123" s="43"/>
      <c r="D123" s="52"/>
      <c r="E123" s="52"/>
      <c r="F123" s="43"/>
      <c r="G123" s="43"/>
      <c r="H123" s="43"/>
    </row>
    <row r="124" spans="2:8" ht="11.25">
      <c r="B124" s="43"/>
      <c r="C124" s="43"/>
      <c r="D124" s="85"/>
      <c r="E124" s="42"/>
      <c r="F124" s="43"/>
      <c r="G124" s="43"/>
      <c r="H124" s="43"/>
    </row>
    <row r="125" spans="2:8" ht="11.25">
      <c r="B125" s="43"/>
      <c r="C125" s="43"/>
      <c r="D125" s="43"/>
      <c r="E125" s="43"/>
      <c r="F125" s="43"/>
      <c r="G125" s="43"/>
      <c r="H125" s="43"/>
    </row>
    <row r="126" spans="2:8" ht="11.25">
      <c r="B126" s="43"/>
      <c r="C126" s="43"/>
      <c r="D126" s="43"/>
      <c r="E126" s="43"/>
      <c r="F126" s="43"/>
      <c r="G126" s="43"/>
      <c r="H126" s="43"/>
    </row>
    <row r="127" spans="2:8" ht="11.25">
      <c r="B127" s="43"/>
      <c r="C127" s="43"/>
      <c r="D127" s="43"/>
      <c r="E127" s="43"/>
      <c r="F127" s="43"/>
      <c r="G127" s="43"/>
      <c r="H127" s="43"/>
    </row>
    <row r="128" spans="6:8" ht="11.25">
      <c r="F128" s="43"/>
      <c r="G128" s="43"/>
      <c r="H128" s="43"/>
    </row>
  </sheetData>
  <sheetProtection password="D076" sheet="1" objects="1" scenarios="1"/>
  <mergeCells count="11">
    <mergeCell ref="A2:O2"/>
    <mergeCell ref="H3:K3"/>
    <mergeCell ref="L3:O3"/>
    <mergeCell ref="D3:G3"/>
    <mergeCell ref="B3:B4"/>
    <mergeCell ref="C3:C4"/>
    <mergeCell ref="A22:P22"/>
    <mergeCell ref="B19:O19"/>
    <mergeCell ref="A3:A4"/>
    <mergeCell ref="P3:P4"/>
    <mergeCell ref="A5:P5"/>
  </mergeCells>
  <conditionalFormatting sqref="P42">
    <cfRule type="cellIs" priority="1" dxfId="32" operator="lessThan" stopIfTrue="1">
      <formula>-1*$P$11</formula>
    </cfRule>
  </conditionalFormatting>
  <conditionalFormatting sqref="D7">
    <cfRule type="cellIs" priority="4" dxfId="1" operator="greaterThan" stopIfTrue="1">
      <formula>$D$25</formula>
    </cfRule>
  </conditionalFormatting>
  <conditionalFormatting sqref="E7">
    <cfRule type="cellIs" priority="5" dxfId="1" operator="greaterThan" stopIfTrue="1">
      <formula>$E$25</formula>
    </cfRule>
  </conditionalFormatting>
  <conditionalFormatting sqref="F7">
    <cfRule type="cellIs" priority="6" dxfId="1" operator="greaterThan" stopIfTrue="1">
      <formula>$F$25</formula>
    </cfRule>
  </conditionalFormatting>
  <conditionalFormatting sqref="G7">
    <cfRule type="cellIs" priority="7" dxfId="1" operator="greaterThan" stopIfTrue="1">
      <formula>$G$25</formula>
    </cfRule>
  </conditionalFormatting>
  <conditionalFormatting sqref="H7">
    <cfRule type="cellIs" priority="8" dxfId="1" operator="greaterThan" stopIfTrue="1">
      <formula>$H$25</formula>
    </cfRule>
  </conditionalFormatting>
  <conditionalFormatting sqref="I7">
    <cfRule type="cellIs" priority="9" dxfId="1" operator="greaterThan" stopIfTrue="1">
      <formula>$I$25</formula>
    </cfRule>
  </conditionalFormatting>
  <conditionalFormatting sqref="J7">
    <cfRule type="cellIs" priority="10" dxfId="1" operator="greaterThan" stopIfTrue="1">
      <formula>$J$25</formula>
    </cfRule>
  </conditionalFormatting>
  <conditionalFormatting sqref="K7">
    <cfRule type="cellIs" priority="11" dxfId="1" operator="greaterThan" stopIfTrue="1">
      <formula>$K$25</formula>
    </cfRule>
  </conditionalFormatting>
  <conditionalFormatting sqref="L7">
    <cfRule type="cellIs" priority="12" dxfId="1" operator="greaterThan" stopIfTrue="1">
      <formula>$L$25</formula>
    </cfRule>
  </conditionalFormatting>
  <conditionalFormatting sqref="M7">
    <cfRule type="cellIs" priority="13" dxfId="1" operator="greaterThan" stopIfTrue="1">
      <formula>$M$25</formula>
    </cfRule>
  </conditionalFormatting>
  <conditionalFormatting sqref="N7">
    <cfRule type="cellIs" priority="14" dxfId="1" operator="greaterThan" stopIfTrue="1">
      <formula>$N$25</formula>
    </cfRule>
  </conditionalFormatting>
  <conditionalFormatting sqref="P6 P23 P29 P35">
    <cfRule type="cellIs" priority="29" dxfId="0" operator="notEqual" stopIfTrue="1">
      <formula>1</formula>
    </cfRule>
  </conditionalFormatting>
  <conditionalFormatting sqref="P41">
    <cfRule type="cellIs" priority="14" dxfId="33" operator="lessThan" stopIfTrue="1">
      <formula>-1*$P$11</formula>
    </cfRule>
  </conditionalFormatting>
  <conditionalFormatting sqref="P11">
    <cfRule type="cellIs" priority="15" dxfId="0" operator="lessThan" stopIfTrue="1">
      <formula>-1*$P$41</formula>
    </cfRule>
  </conditionalFormatting>
  <conditionalFormatting sqref="O7">
    <cfRule type="cellIs" priority="16" dxfId="1" operator="greaterThan" stopIfTrue="1">
      <formula>$O$25</formula>
    </cfRule>
  </conditionalFormatting>
  <dataValidations count="1">
    <dataValidation type="decimal" operator="greaterThan" allowBlank="1" showInputMessage="1" showErrorMessage="1" sqref="P41">
      <formula1>P11</formula1>
    </dataValidation>
  </dataValidation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comp2</cp:lastModifiedBy>
  <cp:lastPrinted>2007-09-13T21:04:18Z</cp:lastPrinted>
  <dcterms:created xsi:type="dcterms:W3CDTF">1996-10-08T23:32:33Z</dcterms:created>
  <dcterms:modified xsi:type="dcterms:W3CDTF">2007-09-24T15:48:05Z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433494842</vt:i4>
  </property>
  <property fmtid="{D5CDD505-2E9C-101B-9397-08002B2CF9AE}" pid="3" name="_ReviewCycleID">
    <vt:i4>433494842</vt:i4>
  </property>
  <property fmtid="{D5CDD505-2E9C-101B-9397-08002B2CF9AE}" pid="4" name="_NewReviewCycle">
    <vt:lpwstr/>
  </property>
  <property fmtid="{D5CDD505-2E9C-101B-9397-08002B2CF9AE}" pid="5" name="_EmailEntryID">
    <vt:lpwstr>00000000F5ADF17F47BB874EA88ECAE3412005CE44833500</vt:lpwstr>
  </property>
  <property fmtid="{D5CDD505-2E9C-101B-9397-08002B2CF9AE}" pid="6" name="_EmailStoreID">
    <vt:lpwstr>0000000038A1BB1005E5101AA1BB08002B2A56C200006D737073742E646C6C00000000004E495441F9BFB80100AA0037D96E000000443A5C65786368616E67655C4F75746C6F6F6B2E70737400</vt:lpwstr>
  </property>
</Properties>
</file>